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ables/table35.xml" ContentType="application/vnd.openxmlformats-officedocument.spreadsheetml.table+xml"/>
  <Override PartName="/xl/comments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36.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DataWork\iCol\04.Proyectos\09.Ejecución\24.GuiaCE\Productos\Final\Web\"/>
    </mc:Choice>
  </mc:AlternateContent>
  <xr:revisionPtr revIDLastSave="0" documentId="13_ncr:1_{9F31E5B8-ED6A-4B2E-9DAA-5C561B45060D}" xr6:coauthVersionLast="47" xr6:coauthVersionMax="47" xr10:uidLastSave="{00000000-0000-0000-0000-000000000000}"/>
  <bookViews>
    <workbookView showSheetTabs="0" xWindow="-110" yWindow="-110" windowWidth="29020" windowHeight="17500" firstSheet="11" activeTab="11" xr2:uid="{94ED4BBD-D479-447C-8B90-2C2A6D09BC32}"/>
  </bookViews>
  <sheets>
    <sheet name="MUNICIPIOS" sheetId="3" state="hidden" r:id="rId1"/>
    <sheet name="DATOS" sheetId="1" r:id="rId2"/>
    <sheet name="LISTAS DESPLEGABLES" sheetId="5" state="hidden" r:id="rId3"/>
    <sheet name="CAPEX" sheetId="27" r:id="rId4"/>
    <sheet name="AOM Y OPEX" sheetId="28" r:id="rId5"/>
    <sheet name="ECONÓMICAS" sheetId="17" r:id="rId6"/>
    <sheet name="ACTIVOS FIJOS E INTANGIBLES" sheetId="11" r:id="rId7"/>
    <sheet name="CAPITAL" sheetId="14" r:id="rId8"/>
    <sheet name="ESTRUCTURA JURÍDICA" sheetId="19" r:id="rId9"/>
    <sheet name="CAPACITACIÓN" sheetId="20" r:id="rId10"/>
    <sheet name="OTRAS ACTIVIDADES ECONÓMICAS" sheetId="21" r:id="rId11"/>
    <sheet name="MENÚ" sheetId="18" r:id="rId12"/>
    <sheet name="INSTRUCCIONES" sheetId="33" r:id="rId13"/>
    <sheet name="PUNTO DE EQUILIBRIO" sheetId="32" r:id="rId14"/>
    <sheet name="INDICADORES DEL PROYECTO" sheetId="31" r:id="rId15"/>
    <sheet name="FACTOR MULTIPLICADOR PERSONAL" sheetId="10" state="hidden" r:id="rId16"/>
    <sheet name="ESTADO SITUACIÓN FINANCIERA" sheetId="15" r:id="rId17"/>
    <sheet name="FINANCIACIÓN" sheetId="12" state="hidden" r:id="rId18"/>
    <sheet name="ESTADO DE RESULTADOS" sheetId="6" r:id="rId19"/>
    <sheet name="PRESUPUESTO DE EFECTIVO" sheetId="16" r:id="rId20"/>
    <sheet name="PROYECCIONES MACROECONÓMICAS" sheetId="9" r:id="rId21"/>
    <sheet name="MANO DE OBRA" sheetId="30" r:id="rId22"/>
    <sheet name="PRECIOS BOLSA ENERGÍA COLOMBIA" sheetId="7" state="hidden" r:id="rId23"/>
    <sheet name="FINANCIACIÓN PARA MOSTRAR" sheetId="29" r:id="rId24"/>
    <sheet name="FONDOS A LOS QUE PUEDE APLICAR" sheetId="13" state="hidden" r:id="rId25"/>
    <sheet name="BETA DAMODARAN 2023" sheetId="22" state="hidden" r:id="rId26"/>
    <sheet name="MERCADO Y LIBRE DE RIESGO 2023" sheetId="23" state="hidden" r:id="rId27"/>
    <sheet name="RIESGO PAÍS TAMAÑO PROYECCIONES" sheetId="24" state="hidden" r:id="rId28"/>
    <sheet name="DEVALUACIÓN" sheetId="25" state="hidden" r:id="rId29"/>
    <sheet name="WACC" sheetId="26" r:id="rId30"/>
    <sheet name="BETAS SECTORES" sheetId="34" state="hidden" r:id="rId31"/>
    <sheet name="MERCADO Y LIBRE DE RIESGO" sheetId="35" state="hidden" r:id="rId32"/>
    <sheet name="RIESGO PAÍS" sheetId="36" state="hidden" r:id="rId33"/>
    <sheet name="DEVALUACIÓN 2023" sheetId="37" state="hidden" r:id="rId34"/>
  </sheets>
  <definedNames>
    <definedName name="_xlnm._FilterDatabase" localSheetId="0" hidden="1">MUNICIPIOS!$AL$3:$AT$1124</definedName>
    <definedName name="_xlnm.Print_Area" localSheetId="28">DEVALUACIÓN!$A$1:$H$813</definedName>
    <definedName name="_xlnm.Print_Area" localSheetId="33">'DEVALUACIÓN 2023'!$A$1:$H$820</definedName>
    <definedName name="_xlnm.Print_Area" localSheetId="11">MENÚ!$A$1:$X$42</definedName>
    <definedName name="HTML_CodePage" hidden="1">1252</definedName>
    <definedName name="HTML_Control" localSheetId="25" hidden="1">{"'Sheet1'!$A$1:$G$85"}</definedName>
    <definedName name="HTML_Control" localSheetId="30" hidden="1">{"'Sheet1'!$A$1:$G$85"}</definedName>
    <definedName name="HTML_Control" localSheetId="28" hidden="1">{"'Sheet1'!$A$1:$G$85"}</definedName>
    <definedName name="HTML_Control" localSheetId="15" hidden="1">{"'Sheet1'!$A$1:$G$85"}</definedName>
    <definedName name="HTML_Control" localSheetId="17" hidden="1">{"'Sheet1'!$A$1:$G$85"}</definedName>
    <definedName name="HTML_Control" localSheetId="31" hidden="1">{"'Sheet1'!$A$1:$G$85"}</definedName>
    <definedName name="HTML_Control" localSheetId="26" hidden="1">{"'Sheet1'!$A$1:$G$85"}</definedName>
    <definedName name="HTML_Control" localSheetId="32" hidden="1">{"'Sheet1'!$A$1:$G$85"}</definedName>
    <definedName name="HTML_Control" localSheetId="27" hidden="1">{"'Sheet1'!$A$1:$G$85"}</definedName>
    <definedName name="HTML_Control" localSheetId="29"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pag_10" localSheetId="33">'DEVALUACIÓN 2023'!$A$1:$H$820</definedName>
    <definedName name="pag_10">DEVALUACIÓN!$A$1:$H$813</definedName>
    <definedName name="pag_5A" localSheetId="25">#REF!</definedName>
    <definedName name="pag_5A" localSheetId="28">#REF!</definedName>
    <definedName name="pag_5A" localSheetId="33">#REF!</definedName>
    <definedName name="pag_5A" localSheetId="15">#REF!</definedName>
    <definedName name="pag_5A" localSheetId="17">#REF!</definedName>
    <definedName name="pag_5A" localSheetId="26">#REF!</definedName>
    <definedName name="pag_5A" localSheetId="27">#REF!</definedName>
    <definedName name="pag_5A" localSheetId="29">#REF!</definedName>
    <definedName name="pag_5A">#REF!</definedName>
    <definedName name="Z_E078A307_870A_4B31_BFC4_07F76163348A_.wvu.PrintArea" localSheetId="28" hidden="1">DEVALUACIÓN!$A$1:$H$799</definedName>
    <definedName name="Z_E078A307_870A_4B31_BFC4_07F76163348A_.wvu.PrintArea" localSheetId="33" hidden="1">'DEVALUACIÓN 2023'!$A$1:$H$806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31" l="1"/>
  <c r="L6" i="31"/>
  <c r="K6" i="31"/>
  <c r="J6" i="31"/>
  <c r="I6" i="31"/>
  <c r="H6" i="31"/>
  <c r="G6" i="31"/>
  <c r="F6" i="31"/>
  <c r="E6" i="31"/>
  <c r="D6" i="31"/>
  <c r="B94" i="1"/>
  <c r="B295" i="1" l="1"/>
  <c r="C6" i="13" l="1"/>
  <c r="D6" i="13" s="1"/>
  <c r="D28" i="29" s="1"/>
  <c r="B6" i="13"/>
  <c r="B5" i="26"/>
  <c r="I28" i="37"/>
  <c r="I27" i="37"/>
  <c r="I26" i="37"/>
  <c r="I25" i="37"/>
  <c r="I24" i="37"/>
  <c r="I23" i="37"/>
  <c r="I22" i="37"/>
  <c r="I21" i="37"/>
  <c r="I20" i="37"/>
  <c r="I19" i="37"/>
  <c r="B20" i="26"/>
  <c r="C19" i="36"/>
  <c r="D19" i="36" s="1"/>
  <c r="C18" i="36"/>
  <c r="D18" i="36" s="1"/>
  <c r="C17" i="36"/>
  <c r="D17" i="36" s="1"/>
  <c r="C16" i="36"/>
  <c r="D16" i="36" s="1"/>
  <c r="C15" i="36"/>
  <c r="D15" i="36" s="1"/>
  <c r="C14" i="36"/>
  <c r="D14" i="36" s="1"/>
  <c r="C13" i="36"/>
  <c r="D13" i="36" s="1"/>
  <c r="C12" i="36"/>
  <c r="D12" i="36" s="1"/>
  <c r="C11" i="36"/>
  <c r="D11" i="36" s="1"/>
  <c r="C10" i="36"/>
  <c r="D10" i="36" s="1"/>
  <c r="C9" i="36"/>
  <c r="D9" i="36" s="1"/>
  <c r="C8" i="36"/>
  <c r="D8" i="36" s="1"/>
  <c r="C7" i="36"/>
  <c r="D7" i="36" s="1"/>
  <c r="C6" i="36"/>
  <c r="D6" i="36" s="1"/>
  <c r="C5" i="36"/>
  <c r="D5" i="36" s="1"/>
  <c r="C4" i="36"/>
  <c r="D4" i="36" s="1"/>
  <c r="W111" i="35"/>
  <c r="V111" i="35"/>
  <c r="P108" i="35"/>
  <c r="V105" i="35"/>
  <c r="S102" i="35"/>
  <c r="S101" i="35"/>
  <c r="S100" i="35"/>
  <c r="X99" i="35"/>
  <c r="S92" i="35"/>
  <c r="S82" i="35"/>
  <c r="S75" i="35"/>
  <c r="X65" i="35"/>
  <c r="N64" i="35"/>
  <c r="S63" i="35"/>
  <c r="S37" i="35"/>
  <c r="X35" i="35"/>
  <c r="S35" i="35"/>
  <c r="N34" i="35"/>
  <c r="N26" i="35"/>
  <c r="T25" i="35"/>
  <c r="N24" i="35"/>
  <c r="T23" i="35"/>
  <c r="T21" i="35"/>
  <c r="I21" i="35"/>
  <c r="I22" i="35" s="1"/>
  <c r="I23" i="35" s="1"/>
  <c r="I24" i="35" s="1"/>
  <c r="I25" i="35" s="1"/>
  <c r="I26" i="35" s="1"/>
  <c r="N21" i="35"/>
  <c r="U99" i="35" l="1"/>
  <c r="U35" i="35"/>
  <c r="P38" i="35"/>
  <c r="P110" i="35"/>
  <c r="X101" i="35"/>
  <c r="T106" i="35"/>
  <c r="T112" i="35"/>
  <c r="W21" i="35"/>
  <c r="T41" i="35"/>
  <c r="U46" i="35"/>
  <c r="W74" i="35"/>
  <c r="U106" i="35"/>
  <c r="U112" i="35"/>
  <c r="X104" i="35"/>
  <c r="O104" i="35"/>
  <c r="W106" i="35"/>
  <c r="W112" i="35"/>
  <c r="U21" i="35"/>
  <c r="P22" i="35"/>
  <c r="S23" i="35"/>
  <c r="S25" i="35"/>
  <c r="X28" i="35"/>
  <c r="X40" i="35"/>
  <c r="N81" i="35"/>
  <c r="T55" i="35"/>
  <c r="X56" i="35"/>
  <c r="T61" i="35"/>
  <c r="T102" i="35"/>
  <c r="X103" i="35"/>
  <c r="T27" i="35"/>
  <c r="U55" i="35"/>
  <c r="U79" i="35"/>
  <c r="X82" i="35"/>
  <c r="V73" i="35"/>
  <c r="W49" i="35"/>
  <c r="O53" i="35"/>
  <c r="W61" i="35"/>
  <c r="W67" i="35"/>
  <c r="W73" i="35"/>
  <c r="X95" i="35"/>
  <c r="T100" i="35"/>
  <c r="W102" i="35"/>
  <c r="H21" i="35"/>
  <c r="H22" i="35" s="1"/>
  <c r="H23" i="35" s="1"/>
  <c r="H24" i="35" s="1"/>
  <c r="H25" i="35" s="1"/>
  <c r="H26" i="35" s="1"/>
  <c r="H27" i="35" s="1"/>
  <c r="H28" i="35" s="1"/>
  <c r="H29" i="35" s="1"/>
  <c r="H30" i="35" s="1"/>
  <c r="H31" i="35" s="1"/>
  <c r="H32" i="35" s="1"/>
  <c r="H33" i="35" s="1"/>
  <c r="H34" i="35" s="1"/>
  <c r="H35" i="35" s="1"/>
  <c r="H36" i="35" s="1"/>
  <c r="H37" i="35" s="1"/>
  <c r="H38" i="35" s="1"/>
  <c r="H39" i="35" s="1"/>
  <c r="H40" i="35" s="1"/>
  <c r="H41" i="35" s="1"/>
  <c r="H42" i="35" s="1"/>
  <c r="H43" i="35" s="1"/>
  <c r="H44" i="35" s="1"/>
  <c r="H45" i="35" s="1"/>
  <c r="H46" i="35" s="1"/>
  <c r="H47" i="35" s="1"/>
  <c r="H48" i="35" s="1"/>
  <c r="H49" i="35" s="1"/>
  <c r="H50" i="35" s="1"/>
  <c r="H51" i="35" s="1"/>
  <c r="H52" i="35" s="1"/>
  <c r="H53" i="35" s="1"/>
  <c r="H54" i="35" s="1"/>
  <c r="U58" i="35"/>
  <c r="U94" i="35"/>
  <c r="X102" i="35"/>
  <c r="T63" i="35"/>
  <c r="T92" i="35"/>
  <c r="T103" i="35"/>
  <c r="T28" i="35"/>
  <c r="N29" i="35"/>
  <c r="U39" i="35"/>
  <c r="X54" i="35"/>
  <c r="X59" i="35"/>
  <c r="U63" i="35"/>
  <c r="N65" i="35"/>
  <c r="T82" i="35"/>
  <c r="U92" i="35"/>
  <c r="T99" i="35"/>
  <c r="U108" i="35"/>
  <c r="X111" i="35"/>
  <c r="V63" i="35"/>
  <c r="U28" i="35"/>
  <c r="I27" i="35"/>
  <c r="V28" i="35"/>
  <c r="W39" i="35"/>
  <c r="W45" i="35"/>
  <c r="W63" i="35"/>
  <c r="V82" i="35"/>
  <c r="P84" i="35"/>
  <c r="X84" i="35"/>
  <c r="T89" i="35"/>
  <c r="P90" i="35"/>
  <c r="V93" i="35"/>
  <c r="T111" i="35"/>
  <c r="V39" i="35"/>
  <c r="U26" i="35"/>
  <c r="W28" i="35"/>
  <c r="U32" i="35"/>
  <c r="W34" i="35"/>
  <c r="X39" i="35"/>
  <c r="O56" i="35"/>
  <c r="X57" i="35"/>
  <c r="W58" i="35"/>
  <c r="X63" i="35"/>
  <c r="O78" i="35"/>
  <c r="O80" i="35"/>
  <c r="W82" i="35"/>
  <c r="O85" i="35"/>
  <c r="X92" i="35"/>
  <c r="U111" i="35"/>
  <c r="T32" i="35"/>
  <c r="T80" i="35"/>
  <c r="T90" i="35"/>
  <c r="S90" i="35"/>
  <c r="K25" i="37"/>
  <c r="B17" i="26" s="1"/>
  <c r="V25" i="35"/>
  <c r="V31" i="35"/>
  <c r="V43" i="35"/>
  <c r="N49" i="35"/>
  <c r="V49" i="35"/>
  <c r="X50" i="35"/>
  <c r="V52" i="35"/>
  <c r="T54" i="35"/>
  <c r="N61" i="35"/>
  <c r="N66" i="35"/>
  <c r="P72" i="35"/>
  <c r="X73" i="35"/>
  <c r="N76" i="35"/>
  <c r="U80" i="35"/>
  <c r="T85" i="35"/>
  <c r="U90" i="35"/>
  <c r="T101" i="35"/>
  <c r="P103" i="35"/>
  <c r="O105" i="35"/>
  <c r="W83" i="35"/>
  <c r="W89" i="35"/>
  <c r="W94" i="35"/>
  <c r="U96" i="35"/>
  <c r="P98" i="35"/>
  <c r="U104" i="35"/>
  <c r="P106" i="35"/>
  <c r="V109" i="35"/>
  <c r="X38" i="35"/>
  <c r="T47" i="35"/>
  <c r="T70" i="35"/>
  <c r="X71" i="35"/>
  <c r="T75" i="35"/>
  <c r="W25" i="35"/>
  <c r="V34" i="35"/>
  <c r="V27" i="35"/>
  <c r="P30" i="35"/>
  <c r="X31" i="35"/>
  <c r="X36" i="35"/>
  <c r="P40" i="35"/>
  <c r="X46" i="35"/>
  <c r="V54" i="35"/>
  <c r="X58" i="35"/>
  <c r="W64" i="35"/>
  <c r="T67" i="35"/>
  <c r="N68" i="35"/>
  <c r="W70" i="35"/>
  <c r="O72" i="35"/>
  <c r="T73" i="35"/>
  <c r="T77" i="35"/>
  <c r="U82" i="35"/>
  <c r="U86" i="35"/>
  <c r="W88" i="35"/>
  <c r="W90" i="35"/>
  <c r="N107" i="35"/>
  <c r="O113" i="35"/>
  <c r="U25" i="35"/>
  <c r="V32" i="35"/>
  <c r="U42" i="35"/>
  <c r="U60" i="35"/>
  <c r="U24" i="35"/>
  <c r="N25" i="35"/>
  <c r="U29" i="35"/>
  <c r="N31" i="35"/>
  <c r="X32" i="35"/>
  <c r="W38" i="35"/>
  <c r="N41" i="35"/>
  <c r="O41" i="35"/>
  <c r="U50" i="35"/>
  <c r="N52" i="35"/>
  <c r="U56" i="35"/>
  <c r="U73" i="35"/>
  <c r="X75" i="35"/>
  <c r="W104" i="35"/>
  <c r="S108" i="35"/>
  <c r="N114" i="35"/>
  <c r="S81" i="35"/>
  <c r="U23" i="35"/>
  <c r="T29" i="35"/>
  <c r="W31" i="35"/>
  <c r="N33" i="35"/>
  <c r="T33" i="35"/>
  <c r="X34" i="35"/>
  <c r="V35" i="35"/>
  <c r="T37" i="35"/>
  <c r="T43" i="35"/>
  <c r="V46" i="35"/>
  <c r="U47" i="35"/>
  <c r="P48" i="35"/>
  <c r="W48" i="35"/>
  <c r="X49" i="35"/>
  <c r="T52" i="35"/>
  <c r="X53" i="35"/>
  <c r="T56" i="35"/>
  <c r="V58" i="35"/>
  <c r="N60" i="35"/>
  <c r="X64" i="35"/>
  <c r="V66" i="35"/>
  <c r="T68" i="35"/>
  <c r="N69" i="35"/>
  <c r="X69" i="35"/>
  <c r="X70" i="35"/>
  <c r="W75" i="35"/>
  <c r="T76" i="35"/>
  <c r="V79" i="35"/>
  <c r="P82" i="35"/>
  <c r="T84" i="35"/>
  <c r="S84" i="35"/>
  <c r="W85" i="35"/>
  <c r="O87" i="35"/>
  <c r="T88" i="35"/>
  <c r="T98" i="35"/>
  <c r="N99" i="35"/>
  <c r="P99" i="35"/>
  <c r="W100" i="35"/>
  <c r="W103" i="35"/>
  <c r="X106" i="35"/>
  <c r="X112" i="35"/>
  <c r="V114" i="35"/>
  <c r="T116" i="35"/>
  <c r="T40" i="35"/>
  <c r="U43" i="35"/>
  <c r="U52" i="35"/>
  <c r="P61" i="35"/>
  <c r="E120" i="35"/>
  <c r="N70" i="35"/>
  <c r="O74" i="35"/>
  <c r="S78" i="35"/>
  <c r="W79" i="35"/>
  <c r="U81" i="35"/>
  <c r="U84" i="35"/>
  <c r="X85" i="35"/>
  <c r="W96" i="35"/>
  <c r="O106" i="35"/>
  <c r="X109" i="35"/>
  <c r="W114" i="35"/>
  <c r="U116" i="35"/>
  <c r="W30" i="35"/>
  <c r="T38" i="35"/>
  <c r="T49" i="35"/>
  <c r="T53" i="35"/>
  <c r="V56" i="35"/>
  <c r="V57" i="35"/>
  <c r="S61" i="35"/>
  <c r="T64" i="35"/>
  <c r="U78" i="35"/>
  <c r="X79" i="35"/>
  <c r="V81" i="35"/>
  <c r="X83" i="35"/>
  <c r="X86" i="35"/>
  <c r="X96" i="35"/>
  <c r="T109" i="35"/>
  <c r="V116" i="35"/>
  <c r="V23" i="35"/>
  <c r="U37" i="35"/>
  <c r="U40" i="35"/>
  <c r="U34" i="35"/>
  <c r="O79" i="35"/>
  <c r="O83" i="35"/>
  <c r="W84" i="35"/>
  <c r="O86" i="35"/>
  <c r="W98" i="35"/>
  <c r="U110" i="35"/>
  <c r="W116" i="35"/>
  <c r="I28" i="35"/>
  <c r="I29" i="35" s="1"/>
  <c r="I30" i="35" s="1"/>
  <c r="I31" i="35" s="1"/>
  <c r="I32" i="35" s="1"/>
  <c r="I33" i="35" s="1"/>
  <c r="I34" i="35" s="1"/>
  <c r="I35" i="35" s="1"/>
  <c r="I36" i="35" s="1"/>
  <c r="I37" i="35" s="1"/>
  <c r="I38" i="35" s="1"/>
  <c r="I39" i="35" s="1"/>
  <c r="I40" i="35" s="1"/>
  <c r="I41" i="35" s="1"/>
  <c r="I42" i="35" s="1"/>
  <c r="I43" i="35" s="1"/>
  <c r="I44" i="35" s="1"/>
  <c r="I45" i="35" s="1"/>
  <c r="I46" i="35" s="1"/>
  <c r="I47" i="35" s="1"/>
  <c r="I48" i="35" s="1"/>
  <c r="I49" i="35" s="1"/>
  <c r="I50" i="35" s="1"/>
  <c r="I51" i="35" s="1"/>
  <c r="I52" i="35" s="1"/>
  <c r="I53" i="35" s="1"/>
  <c r="I54" i="35" s="1"/>
  <c r="I55" i="35" s="1"/>
  <c r="I56" i="35" s="1"/>
  <c r="I57" i="35" s="1"/>
  <c r="I58" i="35" s="1"/>
  <c r="I59" i="35" s="1"/>
  <c r="I60" i="35" s="1"/>
  <c r="I61" i="35" s="1"/>
  <c r="I62" i="35" s="1"/>
  <c r="I63" i="35" s="1"/>
  <c r="I64" i="35" s="1"/>
  <c r="I65" i="35" s="1"/>
  <c r="I66" i="35" s="1"/>
  <c r="I67" i="35" s="1"/>
  <c r="I68" i="35" s="1"/>
  <c r="I69" i="35" s="1"/>
  <c r="I70" i="35" s="1"/>
  <c r="I71" i="35" s="1"/>
  <c r="I72" i="35" s="1"/>
  <c r="I73" i="35" s="1"/>
  <c r="I74" i="35" s="1"/>
  <c r="I75" i="35" s="1"/>
  <c r="I76" i="35" s="1"/>
  <c r="I77" i="35" s="1"/>
  <c r="I78" i="35" s="1"/>
  <c r="I79" i="35" s="1"/>
  <c r="I80" i="35" s="1"/>
  <c r="I81" i="35" s="1"/>
  <c r="I82" i="35" s="1"/>
  <c r="I83" i="35" s="1"/>
  <c r="I84" i="35" s="1"/>
  <c r="I85" i="35" s="1"/>
  <c r="I86" i="35" s="1"/>
  <c r="I87" i="35" s="1"/>
  <c r="I88" i="35" s="1"/>
  <c r="I89" i="35" s="1"/>
  <c r="I90" i="35" s="1"/>
  <c r="I91" i="35" s="1"/>
  <c r="I92" i="35" s="1"/>
  <c r="V24" i="35"/>
  <c r="P37" i="35"/>
  <c r="S38" i="35"/>
  <c r="P54" i="35"/>
  <c r="W24" i="35"/>
  <c r="V26" i="35"/>
  <c r="W27" i="35"/>
  <c r="W29" i="35"/>
  <c r="W37" i="35"/>
  <c r="U38" i="35"/>
  <c r="V40" i="35"/>
  <c r="W43" i="35"/>
  <c r="U45" i="35"/>
  <c r="X47" i="35"/>
  <c r="U49" i="35"/>
  <c r="O50" i="35"/>
  <c r="W52" i="35"/>
  <c r="S54" i="35"/>
  <c r="W56" i="35"/>
  <c r="U61" i="35"/>
  <c r="O62" i="35"/>
  <c r="X62" i="35"/>
  <c r="T65" i="35"/>
  <c r="W76" i="35"/>
  <c r="V21" i="35"/>
  <c r="U22" i="35"/>
  <c r="N23" i="35"/>
  <c r="N28" i="35"/>
  <c r="X29" i="35"/>
  <c r="U31" i="35"/>
  <c r="P32" i="35"/>
  <c r="T35" i="35"/>
  <c r="P36" i="35"/>
  <c r="W36" i="35"/>
  <c r="X37" i="35"/>
  <c r="P42" i="35"/>
  <c r="W42" i="35"/>
  <c r="X43" i="35"/>
  <c r="V45" i="35"/>
  <c r="T46" i="35"/>
  <c r="S47" i="35"/>
  <c r="O47" i="35"/>
  <c r="T50" i="35"/>
  <c r="N51" i="35"/>
  <c r="T51" i="35"/>
  <c r="X52" i="35"/>
  <c r="U54" i="35"/>
  <c r="T58" i="35"/>
  <c r="V61" i="35"/>
  <c r="U65" i="35"/>
  <c r="V70" i="35"/>
  <c r="U71" i="35"/>
  <c r="T72" i="35"/>
  <c r="N73" i="35"/>
  <c r="O75" i="35"/>
  <c r="X76" i="35"/>
  <c r="V78" i="35"/>
  <c r="T79" i="35"/>
  <c r="X81" i="35"/>
  <c r="T86" i="35"/>
  <c r="V87" i="35"/>
  <c r="V90" i="35"/>
  <c r="T96" i="35"/>
  <c r="N97" i="35"/>
  <c r="U100" i="35"/>
  <c r="U103" i="35"/>
  <c r="S104" i="35"/>
  <c r="W108" i="35"/>
  <c r="U109" i="35"/>
  <c r="T110" i="35"/>
  <c r="N111" i="35"/>
  <c r="N115" i="35"/>
  <c r="X115" i="35"/>
  <c r="X116" i="35"/>
  <c r="O29" i="35"/>
  <c r="O32" i="35"/>
  <c r="U44" i="35"/>
  <c r="V22" i="35"/>
  <c r="P26" i="35"/>
  <c r="X27" i="35"/>
  <c r="P28" i="35"/>
  <c r="U30" i="35"/>
  <c r="O31" i="35"/>
  <c r="U33" i="35"/>
  <c r="O34" i="35"/>
  <c r="O35" i="35"/>
  <c r="O38" i="35"/>
  <c r="U41" i="35"/>
  <c r="O54" i="35"/>
  <c r="W55" i="35"/>
  <c r="S66" i="35"/>
  <c r="W71" i="35"/>
  <c r="X77" i="35"/>
  <c r="N80" i="35"/>
  <c r="O108" i="35"/>
  <c r="T44" i="35"/>
  <c r="B119" i="35"/>
  <c r="O28" i="35"/>
  <c r="W33" i="35"/>
  <c r="P66" i="35"/>
  <c r="T115" i="35"/>
  <c r="W22" i="35"/>
  <c r="S27" i="35"/>
  <c r="N27" i="35"/>
  <c r="V29" i="35"/>
  <c r="S29" i="35"/>
  <c r="T31" i="35"/>
  <c r="P31" i="35"/>
  <c r="S32" i="35"/>
  <c r="V33" i="35"/>
  <c r="T34" i="35"/>
  <c r="P34" i="35"/>
  <c r="U36" i="35"/>
  <c r="N37" i="35"/>
  <c r="O37" i="35"/>
  <c r="N40" i="35"/>
  <c r="S40" i="35"/>
  <c r="O40" i="35"/>
  <c r="N43" i="35"/>
  <c r="S43" i="35"/>
  <c r="P43" i="35"/>
  <c r="O43" i="35"/>
  <c r="N46" i="35"/>
  <c r="S46" i="35"/>
  <c r="P46" i="35"/>
  <c r="O46" i="35"/>
  <c r="W51" i="35"/>
  <c r="N77" i="35"/>
  <c r="O77" i="35"/>
  <c r="P91" i="35"/>
  <c r="T94" i="35"/>
  <c r="V99" i="35"/>
  <c r="S99" i="35"/>
  <c r="W23" i="35"/>
  <c r="X44" i="35"/>
  <c r="O92" i="35"/>
  <c r="N96" i="35"/>
  <c r="S96" i="35"/>
  <c r="O96" i="35"/>
  <c r="V113" i="35"/>
  <c r="X113" i="35"/>
  <c r="P50" i="35"/>
  <c r="S50" i="35"/>
  <c r="N53" i="35"/>
  <c r="S73" i="35"/>
  <c r="P73" i="35"/>
  <c r="N35" i="35"/>
  <c r="V37" i="35"/>
  <c r="P24" i="35"/>
  <c r="S28" i="35"/>
  <c r="N22" i="35"/>
  <c r="W26" i="35"/>
  <c r="U27" i="35"/>
  <c r="X30" i="35"/>
  <c r="S31" i="35"/>
  <c r="W32" i="35"/>
  <c r="X33" i="35"/>
  <c r="S34" i="35"/>
  <c r="W35" i="35"/>
  <c r="V38" i="35"/>
  <c r="X41" i="35"/>
  <c r="P44" i="35"/>
  <c r="S44" i="35"/>
  <c r="O44" i="35"/>
  <c r="N47" i="35"/>
  <c r="N62" i="35"/>
  <c r="O65" i="35"/>
  <c r="U68" i="35"/>
  <c r="X68" i="35"/>
  <c r="T71" i="35"/>
  <c r="P75" i="35"/>
  <c r="U77" i="35"/>
  <c r="T113" i="35"/>
  <c r="V41" i="35"/>
  <c r="S41" i="35"/>
  <c r="U48" i="35"/>
  <c r="O49" i="35"/>
  <c r="U51" i="35"/>
  <c r="O52" i="35"/>
  <c r="V55" i="35"/>
  <c r="N57" i="35"/>
  <c r="P57" i="35"/>
  <c r="T59" i="35"/>
  <c r="O60" i="35"/>
  <c r="O63" i="35"/>
  <c r="P64" i="35"/>
  <c r="O66" i="35"/>
  <c r="W69" i="35"/>
  <c r="X80" i="35"/>
  <c r="W81" i="35"/>
  <c r="P85" i="35"/>
  <c r="O98" i="35"/>
  <c r="V100" i="35"/>
  <c r="N102" i="35"/>
  <c r="N106" i="35"/>
  <c r="V108" i="35"/>
  <c r="S110" i="35"/>
  <c r="N112" i="35"/>
  <c r="O112" i="35"/>
  <c r="U113" i="35"/>
  <c r="X114" i="35"/>
  <c r="U115" i="35"/>
  <c r="W41" i="35"/>
  <c r="V44" i="35"/>
  <c r="V47" i="35"/>
  <c r="P49" i="35"/>
  <c r="V51" i="35"/>
  <c r="P52" i="35"/>
  <c r="U53" i="35"/>
  <c r="W54" i="35"/>
  <c r="P60" i="35"/>
  <c r="P63" i="35"/>
  <c r="P67" i="35"/>
  <c r="V68" i="35"/>
  <c r="S76" i="35"/>
  <c r="V77" i="35"/>
  <c r="N79" i="35"/>
  <c r="N82" i="35"/>
  <c r="O84" i="35"/>
  <c r="V86" i="35"/>
  <c r="U88" i="35"/>
  <c r="V97" i="35"/>
  <c r="W99" i="35"/>
  <c r="C121" i="35"/>
  <c r="X107" i="35"/>
  <c r="V110" i="35"/>
  <c r="V115" i="35"/>
  <c r="P116" i="35"/>
  <c r="O116" i="35"/>
  <c r="N39" i="35"/>
  <c r="T39" i="35"/>
  <c r="W40" i="35"/>
  <c r="X42" i="35"/>
  <c r="W44" i="35"/>
  <c r="X45" i="35"/>
  <c r="W47" i="35"/>
  <c r="V50" i="35"/>
  <c r="X55" i="35"/>
  <c r="O57" i="35"/>
  <c r="O58" i="35"/>
  <c r="X60" i="35"/>
  <c r="X61" i="35"/>
  <c r="W62" i="35"/>
  <c r="U64" i="35"/>
  <c r="S64" i="35"/>
  <c r="V65" i="35"/>
  <c r="W68" i="35"/>
  <c r="O69" i="35"/>
  <c r="U70" i="35"/>
  <c r="V71" i="35"/>
  <c r="U76" i="35"/>
  <c r="W77" i="35"/>
  <c r="X78" i="35"/>
  <c r="V80" i="35"/>
  <c r="O81" i="35"/>
  <c r="N83" i="35"/>
  <c r="U85" i="35"/>
  <c r="W86" i="35"/>
  <c r="X87" i="35"/>
  <c r="V88" i="35"/>
  <c r="X89" i="35"/>
  <c r="X90" i="35"/>
  <c r="N91" i="35"/>
  <c r="V92" i="35"/>
  <c r="V94" i="35"/>
  <c r="P96" i="35"/>
  <c r="W97" i="35"/>
  <c r="X100" i="35"/>
  <c r="W105" i="35"/>
  <c r="D121" i="35"/>
  <c r="V107" i="35"/>
  <c r="X108" i="35"/>
  <c r="W110" i="35"/>
  <c r="P111" i="35"/>
  <c r="W113" i="35"/>
  <c r="T114" i="35"/>
  <c r="S114" i="35"/>
  <c r="W115" i="35"/>
  <c r="S116" i="35"/>
  <c r="N45" i="35"/>
  <c r="T45" i="35"/>
  <c r="W46" i="35"/>
  <c r="X48" i="35"/>
  <c r="S49" i="35"/>
  <c r="W50" i="35"/>
  <c r="X51" i="35"/>
  <c r="S52" i="35"/>
  <c r="W53" i="35"/>
  <c r="O55" i="35"/>
  <c r="P55" i="35"/>
  <c r="W59" i="35"/>
  <c r="V64" i="35"/>
  <c r="W65" i="35"/>
  <c r="X66" i="35"/>
  <c r="T69" i="35"/>
  <c r="P69" i="35"/>
  <c r="V75" i="35"/>
  <c r="P76" i="35"/>
  <c r="N78" i="35"/>
  <c r="P78" i="35"/>
  <c r="W80" i="35"/>
  <c r="T81" i="35"/>
  <c r="P81" i="35"/>
  <c r="T83" i="35"/>
  <c r="V84" i="35"/>
  <c r="V85" i="35"/>
  <c r="N87" i="35"/>
  <c r="P87" i="35"/>
  <c r="W92" i="35"/>
  <c r="T93" i="35"/>
  <c r="P95" i="35"/>
  <c r="N95" i="35"/>
  <c r="V98" i="35"/>
  <c r="P100" i="35"/>
  <c r="O100" i="35"/>
  <c r="V101" i="35"/>
  <c r="P102" i="35"/>
  <c r="N103" i="35"/>
  <c r="V104" i="35"/>
  <c r="V106" i="35"/>
  <c r="S106" i="35"/>
  <c r="X110" i="35"/>
  <c r="V112" i="35"/>
  <c r="U114" i="35"/>
  <c r="U83" i="35"/>
  <c r="X88" i="35"/>
  <c r="X94" i="35"/>
  <c r="T105" i="35"/>
  <c r="T108" i="35"/>
  <c r="O110" i="35"/>
  <c r="P113" i="35"/>
  <c r="C21" i="36"/>
  <c r="B14" i="26" s="1"/>
  <c r="X22" i="35"/>
  <c r="X24" i="35"/>
  <c r="X26" i="35"/>
  <c r="S59" i="35"/>
  <c r="P59" i="35"/>
  <c r="U66" i="35"/>
  <c r="O93" i="35"/>
  <c r="N93" i="35"/>
  <c r="S93" i="35"/>
  <c r="P93" i="35"/>
  <c r="O21" i="35"/>
  <c r="S22" i="35"/>
  <c r="O23" i="35"/>
  <c r="S24" i="35"/>
  <c r="O25" i="35"/>
  <c r="S26" i="35"/>
  <c r="O27" i="35"/>
  <c r="O30" i="35"/>
  <c r="S30" i="35"/>
  <c r="O36" i="35"/>
  <c r="S36" i="35"/>
  <c r="O42" i="35"/>
  <c r="S42" i="35"/>
  <c r="O48" i="35"/>
  <c r="S48" i="35"/>
  <c r="P56" i="35"/>
  <c r="S56" i="35"/>
  <c r="T60" i="35"/>
  <c r="S60" i="35"/>
  <c r="T62" i="35"/>
  <c r="N67" i="35"/>
  <c r="V67" i="35"/>
  <c r="P70" i="35"/>
  <c r="O70" i="35"/>
  <c r="X91" i="35"/>
  <c r="T91" i="35"/>
  <c r="D119" i="35"/>
  <c r="J21" i="35"/>
  <c r="J22" i="35" s="1"/>
  <c r="J23" i="35" s="1"/>
  <c r="J24" i="35" s="1"/>
  <c r="J25" i="35" s="1"/>
  <c r="J26" i="35" s="1"/>
  <c r="J27" i="35" s="1"/>
  <c r="J28" i="35" s="1"/>
  <c r="J29" i="35" s="1"/>
  <c r="J30" i="35" s="1"/>
  <c r="J31" i="35" s="1"/>
  <c r="J32" i="35" s="1"/>
  <c r="J33" i="35" s="1"/>
  <c r="J34" i="35" s="1"/>
  <c r="J35" i="35" s="1"/>
  <c r="J36" i="35" s="1"/>
  <c r="J37" i="35" s="1"/>
  <c r="J38" i="35" s="1"/>
  <c r="J39" i="35" s="1"/>
  <c r="J40" i="35" s="1"/>
  <c r="J41" i="35" s="1"/>
  <c r="J42" i="35" s="1"/>
  <c r="J43" i="35" s="1"/>
  <c r="J44" i="35" s="1"/>
  <c r="J45" i="35" s="1"/>
  <c r="J46" i="35" s="1"/>
  <c r="J47" i="35" s="1"/>
  <c r="J48" i="35" s="1"/>
  <c r="J49" i="35" s="1"/>
  <c r="J50" i="35" s="1"/>
  <c r="J51" i="35" s="1"/>
  <c r="J52" i="35" s="1"/>
  <c r="J53" i="35" s="1"/>
  <c r="J54" i="35" s="1"/>
  <c r="J55" i="35" s="1"/>
  <c r="J56" i="35" s="1"/>
  <c r="J57" i="35" s="1"/>
  <c r="J58" i="35" s="1"/>
  <c r="J59" i="35" s="1"/>
  <c r="J60" i="35" s="1"/>
  <c r="J61" i="35" s="1"/>
  <c r="J62" i="35" s="1"/>
  <c r="J63" i="35" s="1"/>
  <c r="J64" i="35" s="1"/>
  <c r="J65" i="35" s="1"/>
  <c r="J66" i="35" s="1"/>
  <c r="J67" i="35" s="1"/>
  <c r="J68" i="35" s="1"/>
  <c r="J69" i="35" s="1"/>
  <c r="J70" i="35" s="1"/>
  <c r="J71" i="35" s="1"/>
  <c r="J72" i="35" s="1"/>
  <c r="J73" i="35" s="1"/>
  <c r="J74" i="35" s="1"/>
  <c r="J75" i="35" s="1"/>
  <c r="J76" i="35" s="1"/>
  <c r="J77" i="35" s="1"/>
  <c r="J78" i="35" s="1"/>
  <c r="J79" i="35" s="1"/>
  <c r="J80" i="35" s="1"/>
  <c r="J81" i="35" s="1"/>
  <c r="J82" i="35" s="1"/>
  <c r="J83" i="35" s="1"/>
  <c r="J84" i="35" s="1"/>
  <c r="J85" i="35" s="1"/>
  <c r="J86" i="35" s="1"/>
  <c r="J87" i="35" s="1"/>
  <c r="J88" i="35" s="1"/>
  <c r="J89" i="35" s="1"/>
  <c r="J90" i="35" s="1"/>
  <c r="J91" i="35" s="1"/>
  <c r="J92" i="35" s="1"/>
  <c r="P21" i="35"/>
  <c r="T22" i="35"/>
  <c r="P23" i="35"/>
  <c r="T24" i="35"/>
  <c r="P25" i="35"/>
  <c r="T26" i="35"/>
  <c r="C119" i="35"/>
  <c r="P27" i="35"/>
  <c r="P29" i="35"/>
  <c r="T30" i="35"/>
  <c r="P35" i="35"/>
  <c r="T36" i="35"/>
  <c r="P41" i="35"/>
  <c r="T42" i="35"/>
  <c r="P47" i="35"/>
  <c r="T48" i="35"/>
  <c r="S53" i="35"/>
  <c r="P53" i="35"/>
  <c r="N54" i="35"/>
  <c r="T57" i="35"/>
  <c r="S57" i="35"/>
  <c r="S58" i="35"/>
  <c r="V62" i="35"/>
  <c r="U62" i="35"/>
  <c r="W66" i="35"/>
  <c r="G120" i="35"/>
  <c r="X67" i="35"/>
  <c r="X72" i="35"/>
  <c r="P89" i="35"/>
  <c r="S89" i="35"/>
  <c r="O89" i="35"/>
  <c r="N89" i="35"/>
  <c r="E119" i="35"/>
  <c r="K21" i="35"/>
  <c r="K22" i="35" s="1"/>
  <c r="K23" i="35" s="1"/>
  <c r="K24" i="35" s="1"/>
  <c r="K25" i="35" s="1"/>
  <c r="K26" i="35" s="1"/>
  <c r="K27" i="35" s="1"/>
  <c r="K28" i="35" s="1"/>
  <c r="K29" i="35" s="1"/>
  <c r="K30" i="35" s="1"/>
  <c r="K31" i="35" s="1"/>
  <c r="K32" i="35" s="1"/>
  <c r="K33" i="35" s="1"/>
  <c r="K34" i="35" s="1"/>
  <c r="K35" i="35" s="1"/>
  <c r="K36" i="35" s="1"/>
  <c r="K37" i="35" s="1"/>
  <c r="K38" i="35" s="1"/>
  <c r="K39" i="35" s="1"/>
  <c r="K40" i="35" s="1"/>
  <c r="K41" i="35" s="1"/>
  <c r="K42" i="35" s="1"/>
  <c r="K43" i="35" s="1"/>
  <c r="K44" i="35" s="1"/>
  <c r="K45" i="35" s="1"/>
  <c r="K46" i="35" s="1"/>
  <c r="K47" i="35" s="1"/>
  <c r="K48" i="35" s="1"/>
  <c r="K49" i="35" s="1"/>
  <c r="K50" i="35" s="1"/>
  <c r="K51" i="35" s="1"/>
  <c r="K52" i="35" s="1"/>
  <c r="K53" i="35" s="1"/>
  <c r="K54" i="35" s="1"/>
  <c r="K55" i="35" s="1"/>
  <c r="K56" i="35" s="1"/>
  <c r="K57" i="35" s="1"/>
  <c r="K58" i="35" s="1"/>
  <c r="K59" i="35" s="1"/>
  <c r="K60" i="35" s="1"/>
  <c r="K61" i="35" s="1"/>
  <c r="K62" i="35" s="1"/>
  <c r="K63" i="35" s="1"/>
  <c r="K64" i="35" s="1"/>
  <c r="K65" i="35" s="1"/>
  <c r="K66" i="35" s="1"/>
  <c r="K67" i="35" s="1"/>
  <c r="K68" i="35" s="1"/>
  <c r="K69" i="35" s="1"/>
  <c r="K70" i="35" s="1"/>
  <c r="K71" i="35" s="1"/>
  <c r="K72" i="35" s="1"/>
  <c r="K73" i="35" s="1"/>
  <c r="K74" i="35" s="1"/>
  <c r="K75" i="35" s="1"/>
  <c r="K76" i="35" s="1"/>
  <c r="K77" i="35" s="1"/>
  <c r="K78" i="35" s="1"/>
  <c r="K79" i="35" s="1"/>
  <c r="K80" i="35" s="1"/>
  <c r="K81" i="35" s="1"/>
  <c r="K82" i="35" s="1"/>
  <c r="K83" i="35" s="1"/>
  <c r="K84" i="35" s="1"/>
  <c r="K85" i="35" s="1"/>
  <c r="K86" i="35" s="1"/>
  <c r="K87" i="35" s="1"/>
  <c r="K88" i="35" s="1"/>
  <c r="K89" i="35" s="1"/>
  <c r="K90" i="35" s="1"/>
  <c r="K91" i="35" s="1"/>
  <c r="K92" i="35" s="1"/>
  <c r="K93" i="35" s="1"/>
  <c r="K94" i="35" s="1"/>
  <c r="K95" i="35" s="1"/>
  <c r="K96" i="35" s="1"/>
  <c r="K97" i="35" s="1"/>
  <c r="K98" i="35" s="1"/>
  <c r="K99" i="35" s="1"/>
  <c r="K100" i="35" s="1"/>
  <c r="K101" i="35" s="1"/>
  <c r="K102" i="35" s="1"/>
  <c r="K103" i="35" s="1"/>
  <c r="K104" i="35" s="1"/>
  <c r="K105" i="35" s="1"/>
  <c r="K106" i="35" s="1"/>
  <c r="K107" i="35" s="1"/>
  <c r="K108" i="35" s="1"/>
  <c r="K109" i="35" s="1"/>
  <c r="K110" i="35" s="1"/>
  <c r="K111" i="35" s="1"/>
  <c r="K112" i="35" s="1"/>
  <c r="K113" i="35" s="1"/>
  <c r="K114" i="35" s="1"/>
  <c r="K115" i="35" s="1"/>
  <c r="K116" i="35" s="1"/>
  <c r="X21" i="35"/>
  <c r="X23" i="35"/>
  <c r="X25" i="35"/>
  <c r="N32" i="35"/>
  <c r="P33" i="35"/>
  <c r="N38" i="35"/>
  <c r="P39" i="35"/>
  <c r="N44" i="35"/>
  <c r="P45" i="35"/>
  <c r="N50" i="35"/>
  <c r="P51" i="35"/>
  <c r="S55" i="35"/>
  <c r="U57" i="35"/>
  <c r="V59" i="35"/>
  <c r="U59" i="35"/>
  <c r="V60" i="35"/>
  <c r="B120" i="35"/>
  <c r="O67" i="35"/>
  <c r="P68" i="35"/>
  <c r="O68" i="35"/>
  <c r="S68" i="35"/>
  <c r="S71" i="35"/>
  <c r="P71" i="35"/>
  <c r="O71" i="35"/>
  <c r="N74" i="35"/>
  <c r="T74" i="35"/>
  <c r="O88" i="35"/>
  <c r="P88" i="35"/>
  <c r="N88" i="35"/>
  <c r="S88" i="35"/>
  <c r="W91" i="35"/>
  <c r="F119" i="35"/>
  <c r="L21" i="35"/>
  <c r="L22" i="35" s="1"/>
  <c r="L23" i="35" s="1"/>
  <c r="L24" i="35" s="1"/>
  <c r="L25" i="35" s="1"/>
  <c r="L26" i="35" s="1"/>
  <c r="L27" i="35" s="1"/>
  <c r="L28" i="35" s="1"/>
  <c r="L29" i="35" s="1"/>
  <c r="L30" i="35" s="1"/>
  <c r="L31" i="35" s="1"/>
  <c r="L32" i="35" s="1"/>
  <c r="L33" i="35" s="1"/>
  <c r="L34" i="35" s="1"/>
  <c r="L35" i="35" s="1"/>
  <c r="L36" i="35" s="1"/>
  <c r="L37" i="35" s="1"/>
  <c r="L38" i="35" s="1"/>
  <c r="L39" i="35" s="1"/>
  <c r="L40" i="35" s="1"/>
  <c r="L41" i="35" s="1"/>
  <c r="L42" i="35" s="1"/>
  <c r="L43" i="35" s="1"/>
  <c r="L44" i="35" s="1"/>
  <c r="L45" i="35" s="1"/>
  <c r="L46" i="35" s="1"/>
  <c r="L47" i="35" s="1"/>
  <c r="L48" i="35" s="1"/>
  <c r="L49" i="35" s="1"/>
  <c r="L50" i="35" s="1"/>
  <c r="L51" i="35" s="1"/>
  <c r="L52" i="35" s="1"/>
  <c r="L53" i="35" s="1"/>
  <c r="L54" i="35" s="1"/>
  <c r="L55" i="35" s="1"/>
  <c r="L56" i="35" s="1"/>
  <c r="L57" i="35" s="1"/>
  <c r="L58" i="35" s="1"/>
  <c r="L59" i="35" s="1"/>
  <c r="L60" i="35" s="1"/>
  <c r="L61" i="35" s="1"/>
  <c r="L62" i="35" s="1"/>
  <c r="L63" i="35" s="1"/>
  <c r="L64" i="35" s="1"/>
  <c r="L65" i="35" s="1"/>
  <c r="L66" i="35" s="1"/>
  <c r="L67" i="35" s="1"/>
  <c r="L68" i="35" s="1"/>
  <c r="L69" i="35" s="1"/>
  <c r="L70" i="35" s="1"/>
  <c r="L71" i="35" s="1"/>
  <c r="L72" i="35" s="1"/>
  <c r="L73" i="35" s="1"/>
  <c r="L74" i="35" s="1"/>
  <c r="L75" i="35" s="1"/>
  <c r="L76" i="35" s="1"/>
  <c r="L77" i="35" s="1"/>
  <c r="L78" i="35" s="1"/>
  <c r="L79" i="35" s="1"/>
  <c r="L80" i="35" s="1"/>
  <c r="L81" i="35" s="1"/>
  <c r="L82" i="35" s="1"/>
  <c r="L83" i="35" s="1"/>
  <c r="L84" i="35" s="1"/>
  <c r="L85" i="35" s="1"/>
  <c r="L86" i="35" s="1"/>
  <c r="L87" i="35" s="1"/>
  <c r="L88" i="35" s="1"/>
  <c r="L89" i="35" s="1"/>
  <c r="L90" i="35" s="1"/>
  <c r="L91" i="35" s="1"/>
  <c r="L92" i="35" s="1"/>
  <c r="S21" i="35"/>
  <c r="O22" i="35"/>
  <c r="O24" i="35"/>
  <c r="O26" i="35"/>
  <c r="V30" i="35"/>
  <c r="O33" i="35"/>
  <c r="S33" i="35"/>
  <c r="V36" i="35"/>
  <c r="O39" i="35"/>
  <c r="S39" i="35"/>
  <c r="V42" i="35"/>
  <c r="O45" i="35"/>
  <c r="S45" i="35"/>
  <c r="V48" i="35"/>
  <c r="O51" i="35"/>
  <c r="S51" i="35"/>
  <c r="N58" i="35"/>
  <c r="N59" i="35"/>
  <c r="W60" i="35"/>
  <c r="O64" i="35"/>
  <c r="S65" i="35"/>
  <c r="P65" i="35"/>
  <c r="V69" i="35"/>
  <c r="U69" i="35"/>
  <c r="N71" i="35"/>
  <c r="X74" i="35"/>
  <c r="U74" i="35"/>
  <c r="G119" i="35"/>
  <c r="M21" i="35"/>
  <c r="M22" i="35" s="1"/>
  <c r="M23" i="35" s="1"/>
  <c r="M24" i="35" s="1"/>
  <c r="M25" i="35" s="1"/>
  <c r="M26" i="35" s="1"/>
  <c r="M27" i="35" s="1"/>
  <c r="M28" i="35" s="1"/>
  <c r="M29" i="35" s="1"/>
  <c r="M30" i="35" s="1"/>
  <c r="M31" i="35" s="1"/>
  <c r="M32" i="35" s="1"/>
  <c r="M33" i="35" s="1"/>
  <c r="M34" i="35" s="1"/>
  <c r="M35" i="35" s="1"/>
  <c r="M36" i="35" s="1"/>
  <c r="M37" i="35" s="1"/>
  <c r="M38" i="35" s="1"/>
  <c r="M39" i="35" s="1"/>
  <c r="M40" i="35" s="1"/>
  <c r="M41" i="35" s="1"/>
  <c r="M42" i="35" s="1"/>
  <c r="M43" i="35" s="1"/>
  <c r="M44" i="35" s="1"/>
  <c r="M45" i="35" s="1"/>
  <c r="M46" i="35" s="1"/>
  <c r="M47" i="35" s="1"/>
  <c r="M48" i="35" s="1"/>
  <c r="M49" i="35" s="1"/>
  <c r="M50" i="35" s="1"/>
  <c r="M51" i="35" s="1"/>
  <c r="M52" i="35" s="1"/>
  <c r="M53" i="35" s="1"/>
  <c r="M54" i="35" s="1"/>
  <c r="M55" i="35" s="1"/>
  <c r="M56" i="35" s="1"/>
  <c r="M57" i="35" s="1"/>
  <c r="M58" i="35" s="1"/>
  <c r="M59" i="35" s="1"/>
  <c r="M60" i="35" s="1"/>
  <c r="M61" i="35" s="1"/>
  <c r="M62" i="35" s="1"/>
  <c r="M63" i="35" s="1"/>
  <c r="M64" i="35" s="1"/>
  <c r="M65" i="35" s="1"/>
  <c r="M66" i="35" s="1"/>
  <c r="M67" i="35" s="1"/>
  <c r="M68" i="35" s="1"/>
  <c r="M69" i="35" s="1"/>
  <c r="M70" i="35" s="1"/>
  <c r="M71" i="35" s="1"/>
  <c r="M72" i="35" s="1"/>
  <c r="M73" i="35" s="1"/>
  <c r="M74" i="35" s="1"/>
  <c r="M75" i="35" s="1"/>
  <c r="M76" i="35" s="1"/>
  <c r="M77" i="35" s="1"/>
  <c r="M78" i="35" s="1"/>
  <c r="M79" i="35" s="1"/>
  <c r="M80" i="35" s="1"/>
  <c r="M81" i="35" s="1"/>
  <c r="M82" i="35" s="1"/>
  <c r="M83" i="35" s="1"/>
  <c r="M84" i="35" s="1"/>
  <c r="M85" i="35" s="1"/>
  <c r="M86" i="35" s="1"/>
  <c r="M87" i="35" s="1"/>
  <c r="M88" i="35" s="1"/>
  <c r="M89" i="35" s="1"/>
  <c r="M90" i="35" s="1"/>
  <c r="M91" i="35" s="1"/>
  <c r="M92" i="35" s="1"/>
  <c r="N30" i="35"/>
  <c r="N36" i="35"/>
  <c r="N42" i="35"/>
  <c r="N48" i="35"/>
  <c r="V53" i="35"/>
  <c r="N55" i="35"/>
  <c r="N56" i="35"/>
  <c r="W57" i="35"/>
  <c r="P58" i="35"/>
  <c r="O59" i="35"/>
  <c r="O61" i="35"/>
  <c r="P62" i="35"/>
  <c r="S62" i="35"/>
  <c r="N63" i="35"/>
  <c r="T66" i="35"/>
  <c r="D120" i="35"/>
  <c r="U67" i="35"/>
  <c r="S67" i="35"/>
  <c r="S69" i="35"/>
  <c r="S70" i="35"/>
  <c r="V72" i="35"/>
  <c r="S72" i="35"/>
  <c r="U75" i="35"/>
  <c r="S86" i="35"/>
  <c r="P86" i="35"/>
  <c r="P94" i="35"/>
  <c r="O94" i="35"/>
  <c r="S94" i="35"/>
  <c r="F120" i="35"/>
  <c r="U72" i="35"/>
  <c r="V74" i="35"/>
  <c r="V76" i="35"/>
  <c r="W78" i="35"/>
  <c r="P79" i="35"/>
  <c r="O82" i="35"/>
  <c r="P83" i="35"/>
  <c r="S83" i="35"/>
  <c r="N84" i="35"/>
  <c r="T87" i="35"/>
  <c r="S87" i="35"/>
  <c r="O90" i="35"/>
  <c r="U93" i="35"/>
  <c r="W95" i="35"/>
  <c r="V96" i="35"/>
  <c r="W72" i="35"/>
  <c r="S80" i="35"/>
  <c r="P80" i="35"/>
  <c r="S85" i="35"/>
  <c r="U87" i="35"/>
  <c r="V89" i="35"/>
  <c r="U89" i="35"/>
  <c r="X97" i="35"/>
  <c r="T97" i="35"/>
  <c r="O102" i="35"/>
  <c r="U102" i="35"/>
  <c r="F121" i="35"/>
  <c r="W107" i="35"/>
  <c r="O76" i="35"/>
  <c r="P77" i="35"/>
  <c r="S77" i="35"/>
  <c r="U91" i="35"/>
  <c r="N94" i="35"/>
  <c r="S95" i="35"/>
  <c r="O95" i="35"/>
  <c r="U95" i="35"/>
  <c r="O97" i="35"/>
  <c r="S97" i="35"/>
  <c r="P97" i="35"/>
  <c r="X98" i="35"/>
  <c r="U98" i="35"/>
  <c r="C120" i="35"/>
  <c r="N72" i="35"/>
  <c r="O73" i="35"/>
  <c r="S74" i="35"/>
  <c r="P74" i="35"/>
  <c r="N75" i="35"/>
  <c r="T78" i="35"/>
  <c r="S79" i="35"/>
  <c r="V83" i="35"/>
  <c r="N85" i="35"/>
  <c r="N86" i="35"/>
  <c r="W87" i="35"/>
  <c r="V91" i="35"/>
  <c r="X93" i="35"/>
  <c r="T95" i="35"/>
  <c r="V95" i="35"/>
  <c r="S98" i="35"/>
  <c r="O101" i="35"/>
  <c r="U101" i="35"/>
  <c r="V103" i="35"/>
  <c r="N105" i="35"/>
  <c r="X105" i="35"/>
  <c r="G121" i="35"/>
  <c r="O107" i="35"/>
  <c r="P109" i="35"/>
  <c r="O109" i="35"/>
  <c r="S109" i="35"/>
  <c r="N90" i="35"/>
  <c r="O91" i="35"/>
  <c r="S91" i="35"/>
  <c r="P92" i="35"/>
  <c r="U97" i="35"/>
  <c r="N100" i="35"/>
  <c r="W101" i="35"/>
  <c r="N101" i="35"/>
  <c r="V102" i="35"/>
  <c r="P105" i="35"/>
  <c r="B127" i="35"/>
  <c r="B121" i="35"/>
  <c r="S107" i="35"/>
  <c r="P107" i="35"/>
  <c r="N108" i="35"/>
  <c r="P115" i="35"/>
  <c r="O115" i="35"/>
  <c r="S115" i="35"/>
  <c r="N109" i="35"/>
  <c r="P101" i="35"/>
  <c r="O103" i="35"/>
  <c r="S103" i="35"/>
  <c r="P104" i="35"/>
  <c r="S105" i="35"/>
  <c r="T107" i="35"/>
  <c r="W93" i="35"/>
  <c r="O99" i="35"/>
  <c r="T104" i="35"/>
  <c r="U105" i="35"/>
  <c r="E121" i="35"/>
  <c r="U107" i="35"/>
  <c r="W109" i="35"/>
  <c r="N92" i="35"/>
  <c r="N98" i="35"/>
  <c r="N104" i="35"/>
  <c r="N110" i="35"/>
  <c r="O111" i="35"/>
  <c r="P112" i="35"/>
  <c r="N116" i="35"/>
  <c r="S113" i="35"/>
  <c r="S112" i="35"/>
  <c r="N113" i="35"/>
  <c r="O114" i="35"/>
  <c r="S111" i="35"/>
  <c r="P114" i="35"/>
  <c r="K120" i="35" l="1"/>
  <c r="D13" i="35"/>
  <c r="I93" i="35"/>
  <c r="I94" i="35" s="1"/>
  <c r="I95" i="35" s="1"/>
  <c r="I96" i="35" s="1"/>
  <c r="I97" i="35" s="1"/>
  <c r="I98" i="35" s="1"/>
  <c r="I99" i="35" s="1"/>
  <c r="I100" i="35" s="1"/>
  <c r="I101" i="35" s="1"/>
  <c r="I102" i="35" s="1"/>
  <c r="I103" i="35" s="1"/>
  <c r="I104" i="35" s="1"/>
  <c r="I105" i="35" s="1"/>
  <c r="I106" i="35" s="1"/>
  <c r="I107" i="35" s="1"/>
  <c r="I108" i="35" s="1"/>
  <c r="I109" i="35" s="1"/>
  <c r="I110" i="35" s="1"/>
  <c r="I111" i="35" s="1"/>
  <c r="I112" i="35" s="1"/>
  <c r="I113" i="35" s="1"/>
  <c r="I114" i="35" s="1"/>
  <c r="I115" i="35" s="1"/>
  <c r="I116" i="35" s="1"/>
  <c r="C125" i="35" s="1"/>
  <c r="V122" i="35"/>
  <c r="J120" i="35"/>
  <c r="L122" i="35"/>
  <c r="W122" i="35"/>
  <c r="V120" i="35"/>
  <c r="W121" i="35"/>
  <c r="U122" i="35"/>
  <c r="T122" i="35"/>
  <c r="S122" i="35"/>
  <c r="W120" i="35"/>
  <c r="T120" i="35"/>
  <c r="L120" i="35"/>
  <c r="X122" i="35"/>
  <c r="U120" i="35"/>
  <c r="T121" i="35"/>
  <c r="S120" i="35"/>
  <c r="X121" i="35"/>
  <c r="L93" i="35"/>
  <c r="L94" i="35" s="1"/>
  <c r="L95" i="35" s="1"/>
  <c r="L96" i="35" s="1"/>
  <c r="L97" i="35" s="1"/>
  <c r="L98" i="35" s="1"/>
  <c r="L99" i="35" s="1"/>
  <c r="L100" i="35" s="1"/>
  <c r="L101" i="35" s="1"/>
  <c r="L102" i="35" s="1"/>
  <c r="L103" i="35" s="1"/>
  <c r="L104" i="35" s="1"/>
  <c r="L105" i="35" s="1"/>
  <c r="L106" i="35" s="1"/>
  <c r="L107" i="35" s="1"/>
  <c r="L108" i="35" s="1"/>
  <c r="L109" i="35" s="1"/>
  <c r="L110" i="35" s="1"/>
  <c r="L111" i="35" s="1"/>
  <c r="L112" i="35" s="1"/>
  <c r="L113" i="35" s="1"/>
  <c r="L114" i="35" s="1"/>
  <c r="L115" i="35" s="1"/>
  <c r="L116" i="35" s="1"/>
  <c r="D15" i="35"/>
  <c r="M120" i="35"/>
  <c r="Q53" i="35"/>
  <c r="K122" i="35"/>
  <c r="J122" i="35"/>
  <c r="C126" i="35"/>
  <c r="S121" i="35"/>
  <c r="M93" i="35"/>
  <c r="M94" i="35" s="1"/>
  <c r="M95" i="35" s="1"/>
  <c r="M96" i="35" s="1"/>
  <c r="M97" i="35" s="1"/>
  <c r="M98" i="35" s="1"/>
  <c r="M99" i="35" s="1"/>
  <c r="M100" i="35" s="1"/>
  <c r="M101" i="35" s="1"/>
  <c r="M102" i="35" s="1"/>
  <c r="M103" i="35" s="1"/>
  <c r="M104" i="35" s="1"/>
  <c r="M105" i="35" s="1"/>
  <c r="M106" i="35" s="1"/>
  <c r="M107" i="35" s="1"/>
  <c r="M108" i="35" s="1"/>
  <c r="M109" i="35" s="1"/>
  <c r="M110" i="35" s="1"/>
  <c r="M111" i="35" s="1"/>
  <c r="M112" i="35" s="1"/>
  <c r="M113" i="35" s="1"/>
  <c r="M114" i="35" s="1"/>
  <c r="M115" i="35" s="1"/>
  <c r="M116" i="35" s="1"/>
  <c r="D16" i="35"/>
  <c r="Q54" i="35"/>
  <c r="H55" i="35"/>
  <c r="X120" i="35"/>
  <c r="J93" i="35"/>
  <c r="J94" i="35" s="1"/>
  <c r="J95" i="35" s="1"/>
  <c r="J96" i="35" s="1"/>
  <c r="J97" i="35" s="1"/>
  <c r="J98" i="35" s="1"/>
  <c r="J99" i="35" s="1"/>
  <c r="J100" i="35" s="1"/>
  <c r="J101" i="35" s="1"/>
  <c r="J102" i="35" s="1"/>
  <c r="J103" i="35" s="1"/>
  <c r="J104" i="35" s="1"/>
  <c r="J105" i="35" s="1"/>
  <c r="J106" i="35" s="1"/>
  <c r="J107" i="35" s="1"/>
  <c r="J108" i="35" s="1"/>
  <c r="J109" i="35" s="1"/>
  <c r="J110" i="35" s="1"/>
  <c r="J111" i="35" s="1"/>
  <c r="J112" i="35" s="1"/>
  <c r="J113" i="35" s="1"/>
  <c r="J114" i="35" s="1"/>
  <c r="J115" i="35" s="1"/>
  <c r="J116" i="35" s="1"/>
  <c r="D14" i="35"/>
  <c r="V121" i="35"/>
  <c r="K121" i="35"/>
  <c r="J121" i="35"/>
  <c r="M122" i="35"/>
  <c r="U121" i="35"/>
  <c r="M121" i="35"/>
  <c r="E126" i="35"/>
  <c r="E125" i="35"/>
  <c r="E124" i="35"/>
  <c r="L121" i="35"/>
  <c r="C124" i="35" l="1"/>
  <c r="H56" i="35"/>
  <c r="Q55" i="35"/>
  <c r="F126" i="35"/>
  <c r="F125" i="35"/>
  <c r="F124" i="35"/>
  <c r="D126" i="35"/>
  <c r="B10" i="26" s="1"/>
  <c r="D125" i="35"/>
  <c r="D124" i="35"/>
  <c r="G125" i="35"/>
  <c r="G124" i="35"/>
  <c r="G126" i="35"/>
  <c r="H57" i="35" l="1"/>
  <c r="Q56" i="35"/>
  <c r="Q57" i="35" l="1"/>
  <c r="H58" i="35"/>
  <c r="H59" i="35" l="1"/>
  <c r="Q58" i="35"/>
  <c r="H60" i="35" l="1"/>
  <c r="Q59" i="35"/>
  <c r="Q60" i="35" l="1"/>
  <c r="H61" i="35"/>
  <c r="H62" i="35" l="1"/>
  <c r="Q61" i="35"/>
  <c r="H63" i="35" l="1"/>
  <c r="Q62" i="35"/>
  <c r="Q63" i="35" l="1"/>
  <c r="H64" i="35"/>
  <c r="H65" i="35" l="1"/>
  <c r="Q64" i="35"/>
  <c r="H66" i="35" l="1"/>
  <c r="Q65" i="35"/>
  <c r="Q66" i="35" l="1"/>
  <c r="H67" i="35"/>
  <c r="H68" i="35" l="1"/>
  <c r="Q67" i="35"/>
  <c r="H69" i="35" l="1"/>
  <c r="Q68" i="35"/>
  <c r="Q69" i="35" l="1"/>
  <c r="H70" i="35"/>
  <c r="Q70" i="35" l="1"/>
  <c r="H71" i="35"/>
  <c r="H72" i="35" l="1"/>
  <c r="Q71" i="35"/>
  <c r="Q72" i="35" l="1"/>
  <c r="H73" i="35"/>
  <c r="H74" i="35" l="1"/>
  <c r="Q73" i="35"/>
  <c r="H75" i="35" l="1"/>
  <c r="Q74" i="35"/>
  <c r="Q75" i="35" l="1"/>
  <c r="H76" i="35"/>
  <c r="H77" i="35" l="1"/>
  <c r="Q76" i="35"/>
  <c r="H78" i="35" l="1"/>
  <c r="Q77" i="35"/>
  <c r="Q78" i="35" l="1"/>
  <c r="H79" i="35"/>
  <c r="H80" i="35" l="1"/>
  <c r="Q79" i="35"/>
  <c r="H81" i="35" l="1"/>
  <c r="Q80" i="35"/>
  <c r="Q81" i="35" l="1"/>
  <c r="H82" i="35"/>
  <c r="H83" i="35" l="1"/>
  <c r="Q82" i="35"/>
  <c r="H84" i="35" l="1"/>
  <c r="Q83" i="35"/>
  <c r="Q84" i="35" l="1"/>
  <c r="H85" i="35"/>
  <c r="H86" i="35" l="1"/>
  <c r="Q85" i="35"/>
  <c r="H87" i="35" l="1"/>
  <c r="Q86" i="35"/>
  <c r="Q87" i="35" l="1"/>
  <c r="H88" i="35"/>
  <c r="Q88" i="35" l="1"/>
  <c r="H89" i="35"/>
  <c r="H90" i="35" l="1"/>
  <c r="Q89" i="35"/>
  <c r="H91" i="35" l="1"/>
  <c r="Q90" i="35"/>
  <c r="H92" i="35" l="1"/>
  <c r="Q91" i="35"/>
  <c r="Q92" i="35" l="1"/>
  <c r="D12" i="35"/>
  <c r="H93" i="35"/>
  <c r="Q93" i="35" l="1"/>
  <c r="H94" i="35"/>
  <c r="Q94" i="35" l="1"/>
  <c r="H95" i="35"/>
  <c r="H96" i="35" l="1"/>
  <c r="Q95" i="35"/>
  <c r="H97" i="35" l="1"/>
  <c r="Q96" i="35"/>
  <c r="H98" i="35" l="1"/>
  <c r="Q97" i="35"/>
  <c r="H99" i="35" l="1"/>
  <c r="Q98" i="35"/>
  <c r="Q99" i="35" l="1"/>
  <c r="H100" i="35"/>
  <c r="H101" i="35" l="1"/>
  <c r="Q100" i="35"/>
  <c r="H102" i="35" l="1"/>
  <c r="Q101" i="35"/>
  <c r="H103" i="35" l="1"/>
  <c r="Q102" i="35"/>
  <c r="H104" i="35" l="1"/>
  <c r="Q103" i="35"/>
  <c r="H105" i="35" l="1"/>
  <c r="Q104" i="35"/>
  <c r="Q105" i="35" l="1"/>
  <c r="H106" i="35"/>
  <c r="H107" i="35" l="1"/>
  <c r="Q106" i="35"/>
  <c r="H108" i="35" l="1"/>
  <c r="Q107" i="35"/>
  <c r="Q108" i="35" l="1"/>
  <c r="H109" i="35"/>
  <c r="Q109" i="35" l="1"/>
  <c r="H110" i="35"/>
  <c r="H111" i="35" l="1"/>
  <c r="Q110" i="35"/>
  <c r="H112" i="35" l="1"/>
  <c r="Q111" i="35"/>
  <c r="H113" i="35" l="1"/>
  <c r="Q112" i="35"/>
  <c r="H114" i="35" l="1"/>
  <c r="Q113" i="35"/>
  <c r="Q114" i="35" l="1"/>
  <c r="H115" i="35"/>
  <c r="Q115" i="35" l="1"/>
  <c r="H116" i="35"/>
  <c r="B125" i="35" l="1"/>
  <c r="B124" i="35"/>
  <c r="Q116" i="35"/>
  <c r="B126" i="35"/>
  <c r="B11" i="26" s="1"/>
  <c r="D17" i="35"/>
  <c r="J125" i="35" l="1"/>
  <c r="K125" i="35"/>
  <c r="K127" i="35"/>
  <c r="J127" i="35"/>
  <c r="K126" i="35"/>
  <c r="J126" i="35"/>
  <c r="B22" i="26" l="1"/>
  <c r="B21" i="26" l="1"/>
  <c r="B12" i="6"/>
  <c r="C88" i="1"/>
  <c r="B37" i="1"/>
  <c r="B76" i="1" l="1"/>
  <c r="A28" i="17" l="1"/>
  <c r="A13" i="1"/>
  <c r="B13" i="1" l="1"/>
  <c r="R28" i="17" s="1"/>
  <c r="B6" i="6"/>
  <c r="K28" i="17" l="1"/>
  <c r="E28" i="17"/>
  <c r="L11" i="15"/>
  <c r="L12" i="15"/>
  <c r="B10" i="16"/>
  <c r="B4" i="21" l="1"/>
  <c r="A199" i="1" l="1"/>
  <c r="E158" i="1"/>
  <c r="E157" i="1"/>
  <c r="E156" i="1"/>
  <c r="E155" i="1"/>
  <c r="E154" i="1"/>
  <c r="E153" i="1"/>
  <c r="E152" i="1"/>
  <c r="E151" i="1"/>
  <c r="E150" i="1"/>
  <c r="C5" i="31" l="1"/>
  <c r="B5" i="31"/>
  <c r="A11" i="14"/>
  <c r="C6" i="30"/>
  <c r="C7" i="30"/>
  <c r="C8" i="30"/>
  <c r="C9" i="30"/>
  <c r="C10" i="30"/>
  <c r="C11" i="30"/>
  <c r="C12" i="30"/>
  <c r="C13" i="30"/>
  <c r="C14" i="30"/>
  <c r="C5" i="30"/>
  <c r="B14" i="30"/>
  <c r="B13" i="30"/>
  <c r="B12" i="30"/>
  <c r="B11" i="30"/>
  <c r="B10" i="30"/>
  <c r="B9" i="30"/>
  <c r="B8" i="30"/>
  <c r="B7" i="30"/>
  <c r="B5" i="30"/>
  <c r="B6" i="30"/>
  <c r="I27" i="9"/>
  <c r="F27" i="9"/>
  <c r="B14" i="9"/>
  <c r="G5" i="29"/>
  <c r="G6" i="29"/>
  <c r="G7" i="29"/>
  <c r="G8" i="29"/>
  <c r="G9" i="29"/>
  <c r="H4" i="29"/>
  <c r="I4" i="29"/>
  <c r="J4" i="29"/>
  <c r="K4" i="29"/>
  <c r="L4" i="29"/>
  <c r="M4" i="29"/>
  <c r="N4" i="29"/>
  <c r="O4" i="29"/>
  <c r="P4" i="29"/>
  <c r="Q4" i="29"/>
  <c r="G4" i="29"/>
  <c r="B4" i="29"/>
  <c r="C4" i="29"/>
  <c r="D4" i="29"/>
  <c r="E4" i="29"/>
  <c r="C8" i="29"/>
  <c r="D8" i="29"/>
  <c r="A8" i="29"/>
  <c r="A4" i="29"/>
  <c r="B21" i="28"/>
  <c r="B22" i="28"/>
  <c r="A22" i="28"/>
  <c r="A23" i="28"/>
  <c r="A21" i="28"/>
  <c r="E5" i="28"/>
  <c r="E6" i="28"/>
  <c r="E7" i="28"/>
  <c r="E8" i="28"/>
  <c r="E9" i="28"/>
  <c r="E10" i="28"/>
  <c r="E11" i="28"/>
  <c r="E12" i="28"/>
  <c r="E13" i="28"/>
  <c r="E14" i="28"/>
  <c r="D6" i="28"/>
  <c r="D7" i="28"/>
  <c r="D8" i="28"/>
  <c r="D9" i="28"/>
  <c r="D10" i="28"/>
  <c r="D11" i="28"/>
  <c r="D12" i="28"/>
  <c r="D13" i="28"/>
  <c r="D14" i="28"/>
  <c r="D15" i="28"/>
  <c r="D5" i="28"/>
  <c r="B5" i="28"/>
  <c r="B6" i="28"/>
  <c r="B7" i="28"/>
  <c r="B8" i="28"/>
  <c r="B9" i="28"/>
  <c r="B10" i="28"/>
  <c r="B11" i="28"/>
  <c r="B12" i="28"/>
  <c r="B13" i="28"/>
  <c r="B14" i="28"/>
  <c r="B15" i="28"/>
  <c r="B16" i="28"/>
  <c r="B17" i="28"/>
  <c r="A18" i="28"/>
  <c r="A19" i="28"/>
  <c r="A6" i="28"/>
  <c r="A7" i="28"/>
  <c r="A8" i="28"/>
  <c r="A9" i="28"/>
  <c r="A10" i="28"/>
  <c r="A11" i="28"/>
  <c r="A12" i="28"/>
  <c r="A13" i="28"/>
  <c r="A14" i="28"/>
  <c r="A15" i="28"/>
  <c r="A16" i="28"/>
  <c r="A17" i="28"/>
  <c r="A5" i="28"/>
  <c r="B374" i="1"/>
  <c r="B291" i="1"/>
  <c r="H23" i="27"/>
  <c r="I27" i="25"/>
  <c r="I26" i="25"/>
  <c r="I25" i="25"/>
  <c r="I24" i="25"/>
  <c r="I23" i="25"/>
  <c r="I22" i="25"/>
  <c r="I21" i="25"/>
  <c r="I20" i="25"/>
  <c r="I19" i="25"/>
  <c r="I18" i="25"/>
  <c r="C16" i="24"/>
  <c r="D16" i="24" s="1"/>
  <c r="C15" i="24"/>
  <c r="D15" i="24" s="1"/>
  <c r="C14" i="24"/>
  <c r="D14" i="24" s="1"/>
  <c r="C13" i="24"/>
  <c r="D13" i="24" s="1"/>
  <c r="C12" i="24"/>
  <c r="D12" i="24" s="1"/>
  <c r="C11" i="24"/>
  <c r="D11" i="24" s="1"/>
  <c r="C10" i="24"/>
  <c r="D10" i="24" s="1"/>
  <c r="C9" i="24"/>
  <c r="D9" i="24" s="1"/>
  <c r="C8" i="24"/>
  <c r="D8" i="24" s="1"/>
  <c r="C7" i="24"/>
  <c r="D7" i="24" s="1"/>
  <c r="C6" i="24"/>
  <c r="D6" i="24" s="1"/>
  <c r="C5" i="24"/>
  <c r="D5" i="24" s="1"/>
  <c r="C4" i="24"/>
  <c r="D4" i="24" s="1"/>
  <c r="C3" i="24"/>
  <c r="D3" i="24" s="1"/>
  <c r="C2" i="24"/>
  <c r="D2" i="24" s="1"/>
  <c r="G118" i="23"/>
  <c r="F118" i="23"/>
  <c r="E118" i="23"/>
  <c r="D118" i="23"/>
  <c r="C118" i="23"/>
  <c r="B118" i="23"/>
  <c r="G117" i="23"/>
  <c r="F117" i="23"/>
  <c r="E117" i="23"/>
  <c r="D117" i="23"/>
  <c r="C117" i="23"/>
  <c r="B117" i="23"/>
  <c r="G116" i="23"/>
  <c r="F116" i="23"/>
  <c r="E116" i="23"/>
  <c r="D116" i="23"/>
  <c r="C116" i="23"/>
  <c r="B116" i="23"/>
  <c r="X113" i="23"/>
  <c r="W113" i="23"/>
  <c r="V113" i="23"/>
  <c r="U113" i="23"/>
  <c r="T113" i="23"/>
  <c r="S113" i="23"/>
  <c r="P113" i="23"/>
  <c r="O113" i="23"/>
  <c r="N113" i="23"/>
  <c r="X112" i="23"/>
  <c r="W112" i="23"/>
  <c r="V112" i="23"/>
  <c r="U112" i="23"/>
  <c r="T112" i="23"/>
  <c r="S112" i="23"/>
  <c r="P112" i="23"/>
  <c r="O112" i="23"/>
  <c r="N112" i="23"/>
  <c r="X111" i="23"/>
  <c r="W111" i="23"/>
  <c r="V111" i="23"/>
  <c r="U111" i="23"/>
  <c r="T111" i="23"/>
  <c r="S111" i="23"/>
  <c r="P111" i="23"/>
  <c r="O111" i="23"/>
  <c r="N111" i="23"/>
  <c r="X110" i="23"/>
  <c r="W110" i="23"/>
  <c r="V110" i="23"/>
  <c r="U110" i="23"/>
  <c r="T110" i="23"/>
  <c r="S110" i="23"/>
  <c r="P110" i="23"/>
  <c r="O110" i="23"/>
  <c r="N110" i="23"/>
  <c r="X109" i="23"/>
  <c r="W109" i="23"/>
  <c r="V109" i="23"/>
  <c r="U109" i="23"/>
  <c r="T109" i="23"/>
  <c r="S109" i="23"/>
  <c r="P109" i="23"/>
  <c r="O109" i="23"/>
  <c r="N109" i="23"/>
  <c r="X108" i="23"/>
  <c r="W108" i="23"/>
  <c r="V108" i="23"/>
  <c r="U108" i="23"/>
  <c r="T108" i="23"/>
  <c r="S108" i="23"/>
  <c r="P108" i="23"/>
  <c r="O108" i="23"/>
  <c r="N108" i="23"/>
  <c r="X107" i="23"/>
  <c r="W107" i="23"/>
  <c r="V107" i="23"/>
  <c r="U107" i="23"/>
  <c r="T107" i="23"/>
  <c r="S107" i="23"/>
  <c r="P107" i="23"/>
  <c r="O107" i="23"/>
  <c r="N107" i="23"/>
  <c r="X106" i="23"/>
  <c r="W106" i="23"/>
  <c r="V106" i="23"/>
  <c r="U106" i="23"/>
  <c r="T106" i="23"/>
  <c r="S106" i="23"/>
  <c r="P106" i="23"/>
  <c r="O106" i="23"/>
  <c r="N106" i="23"/>
  <c r="X105" i="23"/>
  <c r="W105" i="23"/>
  <c r="V105" i="23"/>
  <c r="U105" i="23"/>
  <c r="T105" i="23"/>
  <c r="S105" i="23"/>
  <c r="P105" i="23"/>
  <c r="O105" i="23"/>
  <c r="N105" i="23"/>
  <c r="X104" i="23"/>
  <c r="W104" i="23"/>
  <c r="V104" i="23"/>
  <c r="U104" i="23"/>
  <c r="T104" i="23"/>
  <c r="S104" i="23"/>
  <c r="P104" i="23"/>
  <c r="O104" i="23"/>
  <c r="N104" i="23"/>
  <c r="X103" i="23"/>
  <c r="W103" i="23"/>
  <c r="V103" i="23"/>
  <c r="U103" i="23"/>
  <c r="T103" i="23"/>
  <c r="S103" i="23"/>
  <c r="P103" i="23"/>
  <c r="O103" i="23"/>
  <c r="N103" i="23"/>
  <c r="X102" i="23"/>
  <c r="W102" i="23"/>
  <c r="V102" i="23"/>
  <c r="U102" i="23"/>
  <c r="T102" i="23"/>
  <c r="S102" i="23"/>
  <c r="P102" i="23"/>
  <c r="O102" i="23"/>
  <c r="N102" i="23"/>
  <c r="X101" i="23"/>
  <c r="W101" i="23"/>
  <c r="V101" i="23"/>
  <c r="U101" i="23"/>
  <c r="T101" i="23"/>
  <c r="S101" i="23"/>
  <c r="P101" i="23"/>
  <c r="O101" i="23"/>
  <c r="N101" i="23"/>
  <c r="X100" i="23"/>
  <c r="W100" i="23"/>
  <c r="V100" i="23"/>
  <c r="U100" i="23"/>
  <c r="T100" i="23"/>
  <c r="S100" i="23"/>
  <c r="P100" i="23"/>
  <c r="O100" i="23"/>
  <c r="N100" i="23"/>
  <c r="X99" i="23"/>
  <c r="W99" i="23"/>
  <c r="V99" i="23"/>
  <c r="U99" i="23"/>
  <c r="T99" i="23"/>
  <c r="S99" i="23"/>
  <c r="P99" i="23"/>
  <c r="O99" i="23"/>
  <c r="N99" i="23"/>
  <c r="X98" i="23"/>
  <c r="W98" i="23"/>
  <c r="V98" i="23"/>
  <c r="U98" i="23"/>
  <c r="T98" i="23"/>
  <c r="S98" i="23"/>
  <c r="P98" i="23"/>
  <c r="O98" i="23"/>
  <c r="N98" i="23"/>
  <c r="X97" i="23"/>
  <c r="W97" i="23"/>
  <c r="V97" i="23"/>
  <c r="U97" i="23"/>
  <c r="T97" i="23"/>
  <c r="S97" i="23"/>
  <c r="P97" i="23"/>
  <c r="O97" i="23"/>
  <c r="N97" i="23"/>
  <c r="X96" i="23"/>
  <c r="W96" i="23"/>
  <c r="V96" i="23"/>
  <c r="U96" i="23"/>
  <c r="T96" i="23"/>
  <c r="S96" i="23"/>
  <c r="P96" i="23"/>
  <c r="O96" i="23"/>
  <c r="N96" i="23"/>
  <c r="X95" i="23"/>
  <c r="W95" i="23"/>
  <c r="V95" i="23"/>
  <c r="U95" i="23"/>
  <c r="T95" i="23"/>
  <c r="S95" i="23"/>
  <c r="P95" i="23"/>
  <c r="O95" i="23"/>
  <c r="N95" i="23"/>
  <c r="X94" i="23"/>
  <c r="W94" i="23"/>
  <c r="V94" i="23"/>
  <c r="U94" i="23"/>
  <c r="T94" i="23"/>
  <c r="S94" i="23"/>
  <c r="P94" i="23"/>
  <c r="O94" i="23"/>
  <c r="N94" i="23"/>
  <c r="X93" i="23"/>
  <c r="W93" i="23"/>
  <c r="V93" i="23"/>
  <c r="U93" i="23"/>
  <c r="T93" i="23"/>
  <c r="S93" i="23"/>
  <c r="P93" i="23"/>
  <c r="O93" i="23"/>
  <c r="N93" i="23"/>
  <c r="X92" i="23"/>
  <c r="W92" i="23"/>
  <c r="V92" i="23"/>
  <c r="U92" i="23"/>
  <c r="T92" i="23"/>
  <c r="S92" i="23"/>
  <c r="P92" i="23"/>
  <c r="O92" i="23"/>
  <c r="N92" i="23"/>
  <c r="X91" i="23"/>
  <c r="W91" i="23"/>
  <c r="V91" i="23"/>
  <c r="U91" i="23"/>
  <c r="T91" i="23"/>
  <c r="S91" i="23"/>
  <c r="P91" i="23"/>
  <c r="O91" i="23"/>
  <c r="N91" i="23"/>
  <c r="X90" i="23"/>
  <c r="W90" i="23"/>
  <c r="V90" i="23"/>
  <c r="U90" i="23"/>
  <c r="T90" i="23"/>
  <c r="S90" i="23"/>
  <c r="P90" i="23"/>
  <c r="O90" i="23"/>
  <c r="N90" i="23"/>
  <c r="X89" i="23"/>
  <c r="W89" i="23"/>
  <c r="V89" i="23"/>
  <c r="U89" i="23"/>
  <c r="T89" i="23"/>
  <c r="S89" i="23"/>
  <c r="P89" i="23"/>
  <c r="O89" i="23"/>
  <c r="N89" i="23"/>
  <c r="X88" i="23"/>
  <c r="W88" i="23"/>
  <c r="V88" i="23"/>
  <c r="U88" i="23"/>
  <c r="T88" i="23"/>
  <c r="S88" i="23"/>
  <c r="P88" i="23"/>
  <c r="O88" i="23"/>
  <c r="N88" i="23"/>
  <c r="X87" i="23"/>
  <c r="W87" i="23"/>
  <c r="V87" i="23"/>
  <c r="U87" i="23"/>
  <c r="T87" i="23"/>
  <c r="S87" i="23"/>
  <c r="P87" i="23"/>
  <c r="O87" i="23"/>
  <c r="N87" i="23"/>
  <c r="X86" i="23"/>
  <c r="W86" i="23"/>
  <c r="V86" i="23"/>
  <c r="U86" i="23"/>
  <c r="T86" i="23"/>
  <c r="S86" i="23"/>
  <c r="P86" i="23"/>
  <c r="O86" i="23"/>
  <c r="N86" i="23"/>
  <c r="X85" i="23"/>
  <c r="W85" i="23"/>
  <c r="V85" i="23"/>
  <c r="U85" i="23"/>
  <c r="T85" i="23"/>
  <c r="S85" i="23"/>
  <c r="P85" i="23"/>
  <c r="O85" i="23"/>
  <c r="N85" i="23"/>
  <c r="X84" i="23"/>
  <c r="W84" i="23"/>
  <c r="V84" i="23"/>
  <c r="U84" i="23"/>
  <c r="T84" i="23"/>
  <c r="S84" i="23"/>
  <c r="P84" i="23"/>
  <c r="O84" i="23"/>
  <c r="N84" i="23"/>
  <c r="X83" i="23"/>
  <c r="W83" i="23"/>
  <c r="V83" i="23"/>
  <c r="U83" i="23"/>
  <c r="T83" i="23"/>
  <c r="S83" i="23"/>
  <c r="P83" i="23"/>
  <c r="O83" i="23"/>
  <c r="N83" i="23"/>
  <c r="X82" i="23"/>
  <c r="W82" i="23"/>
  <c r="V82" i="23"/>
  <c r="U82" i="23"/>
  <c r="T82" i="23"/>
  <c r="S82" i="23"/>
  <c r="P82" i="23"/>
  <c r="O82" i="23"/>
  <c r="N82" i="23"/>
  <c r="X81" i="23"/>
  <c r="W81" i="23"/>
  <c r="V81" i="23"/>
  <c r="U81" i="23"/>
  <c r="T81" i="23"/>
  <c r="S81" i="23"/>
  <c r="P81" i="23"/>
  <c r="O81" i="23"/>
  <c r="N81" i="23"/>
  <c r="X80" i="23"/>
  <c r="W80" i="23"/>
  <c r="V80" i="23"/>
  <c r="U80" i="23"/>
  <c r="T80" i="23"/>
  <c r="S80" i="23"/>
  <c r="P80" i="23"/>
  <c r="O80" i="23"/>
  <c r="N80" i="23"/>
  <c r="X79" i="23"/>
  <c r="W79" i="23"/>
  <c r="V79" i="23"/>
  <c r="U79" i="23"/>
  <c r="T79" i="23"/>
  <c r="S79" i="23"/>
  <c r="P79" i="23"/>
  <c r="O79" i="23"/>
  <c r="N79" i="23"/>
  <c r="X78" i="23"/>
  <c r="W78" i="23"/>
  <c r="V78" i="23"/>
  <c r="U78" i="23"/>
  <c r="T78" i="23"/>
  <c r="S78" i="23"/>
  <c r="P78" i="23"/>
  <c r="O78" i="23"/>
  <c r="N78" i="23"/>
  <c r="X77" i="23"/>
  <c r="W77" i="23"/>
  <c r="V77" i="23"/>
  <c r="U77" i="23"/>
  <c r="T77" i="23"/>
  <c r="S77" i="23"/>
  <c r="P77" i="23"/>
  <c r="O77" i="23"/>
  <c r="N77" i="23"/>
  <c r="X76" i="23"/>
  <c r="W76" i="23"/>
  <c r="V76" i="23"/>
  <c r="U76" i="23"/>
  <c r="T76" i="23"/>
  <c r="S76" i="23"/>
  <c r="P76" i="23"/>
  <c r="O76" i="23"/>
  <c r="N76" i="23"/>
  <c r="X75" i="23"/>
  <c r="W75" i="23"/>
  <c r="V75" i="23"/>
  <c r="U75" i="23"/>
  <c r="T75" i="23"/>
  <c r="S75" i="23"/>
  <c r="P75" i="23"/>
  <c r="O75" i="23"/>
  <c r="N75" i="23"/>
  <c r="X74" i="23"/>
  <c r="W74" i="23"/>
  <c r="V74" i="23"/>
  <c r="U74" i="23"/>
  <c r="T74" i="23"/>
  <c r="S74" i="23"/>
  <c r="P74" i="23"/>
  <c r="O74" i="23"/>
  <c r="N74" i="23"/>
  <c r="X73" i="23"/>
  <c r="W73" i="23"/>
  <c r="V73" i="23"/>
  <c r="U73" i="23"/>
  <c r="T73" i="23"/>
  <c r="S73" i="23"/>
  <c r="P73" i="23"/>
  <c r="O73" i="23"/>
  <c r="N73" i="23"/>
  <c r="X72" i="23"/>
  <c r="W72" i="23"/>
  <c r="V72" i="23"/>
  <c r="U72" i="23"/>
  <c r="T72" i="23"/>
  <c r="S72" i="23"/>
  <c r="P72" i="23"/>
  <c r="O72" i="23"/>
  <c r="N72" i="23"/>
  <c r="X71" i="23"/>
  <c r="W71" i="23"/>
  <c r="V71" i="23"/>
  <c r="U71" i="23"/>
  <c r="T71" i="23"/>
  <c r="S71" i="23"/>
  <c r="P71" i="23"/>
  <c r="O71" i="23"/>
  <c r="N71" i="23"/>
  <c r="X70" i="23"/>
  <c r="W70" i="23"/>
  <c r="V70" i="23"/>
  <c r="U70" i="23"/>
  <c r="T70" i="23"/>
  <c r="S70" i="23"/>
  <c r="P70" i="23"/>
  <c r="O70" i="23"/>
  <c r="N70" i="23"/>
  <c r="X69" i="23"/>
  <c r="W69" i="23"/>
  <c r="V69" i="23"/>
  <c r="U69" i="23"/>
  <c r="T69" i="23"/>
  <c r="S69" i="23"/>
  <c r="P69" i="23"/>
  <c r="O69" i="23"/>
  <c r="N69" i="23"/>
  <c r="X68" i="23"/>
  <c r="W68" i="23"/>
  <c r="V68" i="23"/>
  <c r="U68" i="23"/>
  <c r="T68" i="23"/>
  <c r="S68" i="23"/>
  <c r="P68" i="23"/>
  <c r="O68" i="23"/>
  <c r="N68" i="23"/>
  <c r="X67" i="23"/>
  <c r="W67" i="23"/>
  <c r="V67" i="23"/>
  <c r="U67" i="23"/>
  <c r="T67" i="23"/>
  <c r="S67" i="23"/>
  <c r="P67" i="23"/>
  <c r="O67" i="23"/>
  <c r="N67" i="23"/>
  <c r="X66" i="23"/>
  <c r="W66" i="23"/>
  <c r="V66" i="23"/>
  <c r="U66" i="23"/>
  <c r="T66" i="23"/>
  <c r="S66" i="23"/>
  <c r="P66" i="23"/>
  <c r="O66" i="23"/>
  <c r="N66" i="23"/>
  <c r="X65" i="23"/>
  <c r="W65" i="23"/>
  <c r="V65" i="23"/>
  <c r="U65" i="23"/>
  <c r="T65" i="23"/>
  <c r="S65" i="23"/>
  <c r="P65" i="23"/>
  <c r="O65" i="23"/>
  <c r="N65" i="23"/>
  <c r="X64" i="23"/>
  <c r="W64" i="23"/>
  <c r="V64" i="23"/>
  <c r="U64" i="23"/>
  <c r="T64" i="23"/>
  <c r="S64" i="23"/>
  <c r="P64" i="23"/>
  <c r="O64" i="23"/>
  <c r="N64" i="23"/>
  <c r="X63" i="23"/>
  <c r="W63" i="23"/>
  <c r="V63" i="23"/>
  <c r="U63" i="23"/>
  <c r="T63" i="23"/>
  <c r="S63" i="23"/>
  <c r="P63" i="23"/>
  <c r="O63" i="23"/>
  <c r="N63" i="23"/>
  <c r="X62" i="23"/>
  <c r="W62" i="23"/>
  <c r="V62" i="23"/>
  <c r="U62" i="23"/>
  <c r="T62" i="23"/>
  <c r="S62" i="23"/>
  <c r="P62" i="23"/>
  <c r="O62" i="23"/>
  <c r="N62" i="23"/>
  <c r="X61" i="23"/>
  <c r="W61" i="23"/>
  <c r="V61" i="23"/>
  <c r="U61" i="23"/>
  <c r="T61" i="23"/>
  <c r="S61" i="23"/>
  <c r="P61" i="23"/>
  <c r="O61" i="23"/>
  <c r="N61" i="23"/>
  <c r="X60" i="23"/>
  <c r="W60" i="23"/>
  <c r="V60" i="23"/>
  <c r="U60" i="23"/>
  <c r="T60" i="23"/>
  <c r="S60" i="23"/>
  <c r="P60" i="23"/>
  <c r="O60" i="23"/>
  <c r="N60" i="23"/>
  <c r="X59" i="23"/>
  <c r="W59" i="23"/>
  <c r="V59" i="23"/>
  <c r="U59" i="23"/>
  <c r="T59" i="23"/>
  <c r="S59" i="23"/>
  <c r="P59" i="23"/>
  <c r="O59" i="23"/>
  <c r="N59" i="23"/>
  <c r="X58" i="23"/>
  <c r="W58" i="23"/>
  <c r="V58" i="23"/>
  <c r="U58" i="23"/>
  <c r="T58" i="23"/>
  <c r="S58" i="23"/>
  <c r="P58" i="23"/>
  <c r="O58" i="23"/>
  <c r="N58" i="23"/>
  <c r="X57" i="23"/>
  <c r="W57" i="23"/>
  <c r="V57" i="23"/>
  <c r="U57" i="23"/>
  <c r="T57" i="23"/>
  <c r="S57" i="23"/>
  <c r="P57" i="23"/>
  <c r="O57" i="23"/>
  <c r="N57" i="23"/>
  <c r="X56" i="23"/>
  <c r="W56" i="23"/>
  <c r="V56" i="23"/>
  <c r="U56" i="23"/>
  <c r="T56" i="23"/>
  <c r="S56" i="23"/>
  <c r="P56" i="23"/>
  <c r="O56" i="23"/>
  <c r="N56" i="23"/>
  <c r="X55" i="23"/>
  <c r="W55" i="23"/>
  <c r="V55" i="23"/>
  <c r="U55" i="23"/>
  <c r="T55" i="23"/>
  <c r="S55" i="23"/>
  <c r="P55" i="23"/>
  <c r="O55" i="23"/>
  <c r="N55" i="23"/>
  <c r="X54" i="23"/>
  <c r="W54" i="23"/>
  <c r="V54" i="23"/>
  <c r="U54" i="23"/>
  <c r="T54" i="23"/>
  <c r="S54" i="23"/>
  <c r="P54" i="23"/>
  <c r="O54" i="23"/>
  <c r="N54" i="23"/>
  <c r="X53" i="23"/>
  <c r="W53" i="23"/>
  <c r="V53" i="23"/>
  <c r="U53" i="23"/>
  <c r="T53" i="23"/>
  <c r="S53" i="23"/>
  <c r="P53" i="23"/>
  <c r="O53" i="23"/>
  <c r="N53" i="23"/>
  <c r="X52" i="23"/>
  <c r="W52" i="23"/>
  <c r="V52" i="23"/>
  <c r="U52" i="23"/>
  <c r="T52" i="23"/>
  <c r="S52" i="23"/>
  <c r="P52" i="23"/>
  <c r="O52" i="23"/>
  <c r="N52" i="23"/>
  <c r="X51" i="23"/>
  <c r="W51" i="23"/>
  <c r="V51" i="23"/>
  <c r="U51" i="23"/>
  <c r="T51" i="23"/>
  <c r="S51" i="23"/>
  <c r="P51" i="23"/>
  <c r="O51" i="23"/>
  <c r="N51" i="23"/>
  <c r="X50" i="23"/>
  <c r="W50" i="23"/>
  <c r="V50" i="23"/>
  <c r="U50" i="23"/>
  <c r="T50" i="23"/>
  <c r="S50" i="23"/>
  <c r="P50" i="23"/>
  <c r="O50" i="23"/>
  <c r="N50" i="23"/>
  <c r="X49" i="23"/>
  <c r="W49" i="23"/>
  <c r="V49" i="23"/>
  <c r="U49" i="23"/>
  <c r="T49" i="23"/>
  <c r="S49" i="23"/>
  <c r="P49" i="23"/>
  <c r="O49" i="23"/>
  <c r="N49" i="23"/>
  <c r="X48" i="23"/>
  <c r="W48" i="23"/>
  <c r="V48" i="23"/>
  <c r="U48" i="23"/>
  <c r="T48" i="23"/>
  <c r="S48" i="23"/>
  <c r="P48" i="23"/>
  <c r="O48" i="23"/>
  <c r="N48" i="23"/>
  <c r="X47" i="23"/>
  <c r="W47" i="23"/>
  <c r="V47" i="23"/>
  <c r="U47" i="23"/>
  <c r="T47" i="23"/>
  <c r="S47" i="23"/>
  <c r="P47" i="23"/>
  <c r="O47" i="23"/>
  <c r="N47" i="23"/>
  <c r="X46" i="23"/>
  <c r="W46" i="23"/>
  <c r="V46" i="23"/>
  <c r="U46" i="23"/>
  <c r="T46" i="23"/>
  <c r="S46" i="23"/>
  <c r="P46" i="23"/>
  <c r="O46" i="23"/>
  <c r="N46" i="23"/>
  <c r="X45" i="23"/>
  <c r="W45" i="23"/>
  <c r="V45" i="23"/>
  <c r="U45" i="23"/>
  <c r="T45" i="23"/>
  <c r="S45" i="23"/>
  <c r="P45" i="23"/>
  <c r="O45" i="23"/>
  <c r="N45" i="23"/>
  <c r="X44" i="23"/>
  <c r="W44" i="23"/>
  <c r="V44" i="23"/>
  <c r="U44" i="23"/>
  <c r="T44" i="23"/>
  <c r="S44" i="23"/>
  <c r="P44" i="23"/>
  <c r="O44" i="23"/>
  <c r="N44" i="23"/>
  <c r="X43" i="23"/>
  <c r="W43" i="23"/>
  <c r="V43" i="23"/>
  <c r="U43" i="23"/>
  <c r="T43" i="23"/>
  <c r="S43" i="23"/>
  <c r="P43" i="23"/>
  <c r="O43" i="23"/>
  <c r="N43" i="23"/>
  <c r="X42" i="23"/>
  <c r="W42" i="23"/>
  <c r="V42" i="23"/>
  <c r="U42" i="23"/>
  <c r="T42" i="23"/>
  <c r="S42" i="23"/>
  <c r="P42" i="23"/>
  <c r="O42" i="23"/>
  <c r="N42" i="23"/>
  <c r="X41" i="23"/>
  <c r="W41" i="23"/>
  <c r="V41" i="23"/>
  <c r="U41" i="23"/>
  <c r="T41" i="23"/>
  <c r="S41" i="23"/>
  <c r="P41" i="23"/>
  <c r="O41" i="23"/>
  <c r="N41" i="23"/>
  <c r="X40" i="23"/>
  <c r="W40" i="23"/>
  <c r="V40" i="23"/>
  <c r="U40" i="23"/>
  <c r="T40" i="23"/>
  <c r="S40" i="23"/>
  <c r="P40" i="23"/>
  <c r="O40" i="23"/>
  <c r="N40" i="23"/>
  <c r="X39" i="23"/>
  <c r="W39" i="23"/>
  <c r="V39" i="23"/>
  <c r="U39" i="23"/>
  <c r="T39" i="23"/>
  <c r="S39" i="23"/>
  <c r="P39" i="23"/>
  <c r="O39" i="23"/>
  <c r="N39" i="23"/>
  <c r="X38" i="23"/>
  <c r="W38" i="23"/>
  <c r="V38" i="23"/>
  <c r="U38" i="23"/>
  <c r="T38" i="23"/>
  <c r="S38" i="23"/>
  <c r="P38" i="23"/>
  <c r="O38" i="23"/>
  <c r="N38" i="23"/>
  <c r="X37" i="23"/>
  <c r="W37" i="23"/>
  <c r="V37" i="23"/>
  <c r="U37" i="23"/>
  <c r="T37" i="23"/>
  <c r="S37" i="23"/>
  <c r="P37" i="23"/>
  <c r="O37" i="23"/>
  <c r="N37" i="23"/>
  <c r="X36" i="23"/>
  <c r="W36" i="23"/>
  <c r="V36" i="23"/>
  <c r="U36" i="23"/>
  <c r="T36" i="23"/>
  <c r="S36" i="23"/>
  <c r="P36" i="23"/>
  <c r="O36" i="23"/>
  <c r="N36" i="23"/>
  <c r="X35" i="23"/>
  <c r="W35" i="23"/>
  <c r="V35" i="23"/>
  <c r="U35" i="23"/>
  <c r="T35" i="23"/>
  <c r="S35" i="23"/>
  <c r="P35" i="23"/>
  <c r="O35" i="23"/>
  <c r="N35" i="23"/>
  <c r="X34" i="23"/>
  <c r="W34" i="23"/>
  <c r="V34" i="23"/>
  <c r="U34" i="23"/>
  <c r="T34" i="23"/>
  <c r="S34" i="23"/>
  <c r="P34" i="23"/>
  <c r="O34" i="23"/>
  <c r="N34" i="23"/>
  <c r="X33" i="23"/>
  <c r="W33" i="23"/>
  <c r="V33" i="23"/>
  <c r="U33" i="23"/>
  <c r="T33" i="23"/>
  <c r="S33" i="23"/>
  <c r="P33" i="23"/>
  <c r="O33" i="23"/>
  <c r="N33" i="23"/>
  <c r="X32" i="23"/>
  <c r="W32" i="23"/>
  <c r="V32" i="23"/>
  <c r="U32" i="23"/>
  <c r="T32" i="23"/>
  <c r="S32" i="23"/>
  <c r="P32" i="23"/>
  <c r="O32" i="23"/>
  <c r="N32" i="23"/>
  <c r="X31" i="23"/>
  <c r="W31" i="23"/>
  <c r="V31" i="23"/>
  <c r="U31" i="23"/>
  <c r="T31" i="23"/>
  <c r="S31" i="23"/>
  <c r="P31" i="23"/>
  <c r="O31" i="23"/>
  <c r="N31" i="23"/>
  <c r="X30" i="23"/>
  <c r="W30" i="23"/>
  <c r="V30" i="23"/>
  <c r="U30" i="23"/>
  <c r="T30" i="23"/>
  <c r="S30" i="23"/>
  <c r="P30" i="23"/>
  <c r="O30" i="23"/>
  <c r="N30" i="23"/>
  <c r="X29" i="23"/>
  <c r="W29" i="23"/>
  <c r="V29" i="23"/>
  <c r="U29" i="23"/>
  <c r="T29" i="23"/>
  <c r="S29" i="23"/>
  <c r="P29" i="23"/>
  <c r="O29" i="23"/>
  <c r="N29" i="23"/>
  <c r="X28" i="23"/>
  <c r="W28" i="23"/>
  <c r="V28" i="23"/>
  <c r="U28" i="23"/>
  <c r="T28" i="23"/>
  <c r="S28" i="23"/>
  <c r="P28" i="23"/>
  <c r="O28" i="23"/>
  <c r="N28" i="23"/>
  <c r="X27" i="23"/>
  <c r="W27" i="23"/>
  <c r="V27" i="23"/>
  <c r="U27" i="23"/>
  <c r="T27" i="23"/>
  <c r="S27" i="23"/>
  <c r="P27" i="23"/>
  <c r="O27" i="23"/>
  <c r="N27" i="23"/>
  <c r="X26" i="23"/>
  <c r="W26" i="23"/>
  <c r="V26" i="23"/>
  <c r="U26" i="23"/>
  <c r="T26" i="23"/>
  <c r="S26" i="23"/>
  <c r="P26" i="23"/>
  <c r="O26" i="23"/>
  <c r="N26" i="23"/>
  <c r="X25" i="23"/>
  <c r="W25" i="23"/>
  <c r="V25" i="23"/>
  <c r="U25" i="23"/>
  <c r="T25" i="23"/>
  <c r="S25" i="23"/>
  <c r="P25" i="23"/>
  <c r="O25" i="23"/>
  <c r="N25" i="23"/>
  <c r="X24" i="23"/>
  <c r="W24" i="23"/>
  <c r="V24" i="23"/>
  <c r="U24" i="23"/>
  <c r="T24" i="23"/>
  <c r="S24" i="23"/>
  <c r="P24" i="23"/>
  <c r="O24" i="23"/>
  <c r="N24" i="23"/>
  <c r="X23" i="23"/>
  <c r="W23" i="23"/>
  <c r="V23" i="23"/>
  <c r="U23" i="23"/>
  <c r="T23" i="23"/>
  <c r="S23" i="23"/>
  <c r="P23" i="23"/>
  <c r="O23" i="23"/>
  <c r="N23" i="23"/>
  <c r="X22" i="23"/>
  <c r="W22" i="23"/>
  <c r="V22" i="23"/>
  <c r="U22" i="23"/>
  <c r="T22" i="23"/>
  <c r="S22" i="23"/>
  <c r="P22" i="23"/>
  <c r="O22" i="23"/>
  <c r="N22" i="23"/>
  <c r="X21" i="23"/>
  <c r="W21" i="23"/>
  <c r="V21" i="23"/>
  <c r="U21" i="23"/>
  <c r="T21" i="23"/>
  <c r="S21" i="23"/>
  <c r="P21" i="23"/>
  <c r="O21" i="23"/>
  <c r="N21" i="23"/>
  <c r="X20" i="23"/>
  <c r="W20" i="23"/>
  <c r="V20" i="23"/>
  <c r="U20" i="23"/>
  <c r="T20" i="23"/>
  <c r="S20" i="23"/>
  <c r="P20" i="23"/>
  <c r="O20" i="23"/>
  <c r="N20" i="23"/>
  <c r="X19" i="23"/>
  <c r="W19" i="23"/>
  <c r="V19" i="23"/>
  <c r="U19" i="23"/>
  <c r="T19" i="23"/>
  <c r="S19" i="23"/>
  <c r="P19" i="23"/>
  <c r="O19" i="23"/>
  <c r="N19" i="23"/>
  <c r="M19" i="23"/>
  <c r="M20" i="23" s="1"/>
  <c r="M21" i="23" s="1"/>
  <c r="M22" i="23" s="1"/>
  <c r="M23" i="23" s="1"/>
  <c r="M24" i="23" s="1"/>
  <c r="M25" i="23" s="1"/>
  <c r="M26" i="23" s="1"/>
  <c r="M27" i="23" s="1"/>
  <c r="M28" i="23" s="1"/>
  <c r="M29" i="23" s="1"/>
  <c r="M30" i="23" s="1"/>
  <c r="M31" i="23" s="1"/>
  <c r="M32" i="23" s="1"/>
  <c r="M33" i="23" s="1"/>
  <c r="M34" i="23" s="1"/>
  <c r="M35" i="23" s="1"/>
  <c r="M36" i="23" s="1"/>
  <c r="M37" i="23" s="1"/>
  <c r="M38" i="23" s="1"/>
  <c r="M39" i="23" s="1"/>
  <c r="M40" i="23" s="1"/>
  <c r="M41" i="23" s="1"/>
  <c r="M42" i="23" s="1"/>
  <c r="M43" i="23" s="1"/>
  <c r="M44" i="23" s="1"/>
  <c r="M45" i="23" s="1"/>
  <c r="M46" i="23" s="1"/>
  <c r="M47" i="23" s="1"/>
  <c r="M48" i="23" s="1"/>
  <c r="M49" i="23" s="1"/>
  <c r="M50" i="23" s="1"/>
  <c r="M51" i="23" s="1"/>
  <c r="M52" i="23" s="1"/>
  <c r="M53" i="23" s="1"/>
  <c r="M54" i="23" s="1"/>
  <c r="M55" i="23" s="1"/>
  <c r="M56" i="23" s="1"/>
  <c r="M57" i="23" s="1"/>
  <c r="M58" i="23" s="1"/>
  <c r="M59" i="23" s="1"/>
  <c r="M60" i="23" s="1"/>
  <c r="M61" i="23" s="1"/>
  <c r="M62" i="23" s="1"/>
  <c r="M63" i="23" s="1"/>
  <c r="M64" i="23" s="1"/>
  <c r="M65" i="23" s="1"/>
  <c r="M66" i="23" s="1"/>
  <c r="M67" i="23" s="1"/>
  <c r="M68" i="23" s="1"/>
  <c r="M69" i="23" s="1"/>
  <c r="M70" i="23" s="1"/>
  <c r="M71" i="23" s="1"/>
  <c r="M72" i="23" s="1"/>
  <c r="M73" i="23" s="1"/>
  <c r="M74" i="23" s="1"/>
  <c r="M75" i="23" s="1"/>
  <c r="M76" i="23" s="1"/>
  <c r="M77" i="23" s="1"/>
  <c r="M78" i="23" s="1"/>
  <c r="M79" i="23" s="1"/>
  <c r="M80" i="23" s="1"/>
  <c r="M81" i="23" s="1"/>
  <c r="M82" i="23" s="1"/>
  <c r="M83" i="23" s="1"/>
  <c r="M84" i="23" s="1"/>
  <c r="M85" i="23" s="1"/>
  <c r="M86" i="23" s="1"/>
  <c r="M87" i="23" s="1"/>
  <c r="M88" i="23" s="1"/>
  <c r="M89" i="23" s="1"/>
  <c r="M90" i="23" s="1"/>
  <c r="M91" i="23" s="1"/>
  <c r="M92" i="23" s="1"/>
  <c r="M93" i="23" s="1"/>
  <c r="M94" i="23" s="1"/>
  <c r="M95" i="23" s="1"/>
  <c r="M96" i="23" s="1"/>
  <c r="M97" i="23" s="1"/>
  <c r="M98" i="23" s="1"/>
  <c r="M99" i="23" s="1"/>
  <c r="M100" i="23" s="1"/>
  <c r="M101" i="23" s="1"/>
  <c r="M102" i="23" s="1"/>
  <c r="M103" i="23" s="1"/>
  <c r="M104" i="23" s="1"/>
  <c r="M105" i="23" s="1"/>
  <c r="M106" i="23" s="1"/>
  <c r="M107" i="23" s="1"/>
  <c r="M108" i="23" s="1"/>
  <c r="M109" i="23" s="1"/>
  <c r="M110" i="23" s="1"/>
  <c r="M111" i="23" s="1"/>
  <c r="M112" i="23" s="1"/>
  <c r="M113" i="23" s="1"/>
  <c r="L19" i="23"/>
  <c r="L20" i="23" s="1"/>
  <c r="L21" i="23" s="1"/>
  <c r="L22" i="23" s="1"/>
  <c r="L23" i="23" s="1"/>
  <c r="L24" i="23" s="1"/>
  <c r="L25" i="23" s="1"/>
  <c r="L26" i="23" s="1"/>
  <c r="L27" i="23" s="1"/>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0" i="23" s="1"/>
  <c r="L51" i="23" s="1"/>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74" i="23" s="1"/>
  <c r="L75" i="23" s="1"/>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98" i="23" s="1"/>
  <c r="L99" i="23" s="1"/>
  <c r="L100" i="23" s="1"/>
  <c r="L101" i="23" s="1"/>
  <c r="L102" i="23" s="1"/>
  <c r="L103" i="23" s="1"/>
  <c r="L104" i="23" s="1"/>
  <c r="L105" i="23" s="1"/>
  <c r="L106" i="23" s="1"/>
  <c r="L107" i="23" s="1"/>
  <c r="L108" i="23" s="1"/>
  <c r="L109" i="23" s="1"/>
  <c r="L110" i="23" s="1"/>
  <c r="L111" i="23" s="1"/>
  <c r="L112" i="23" s="1"/>
  <c r="L113" i="23" s="1"/>
  <c r="K19" i="23"/>
  <c r="K20" i="23" s="1"/>
  <c r="K21" i="23" s="1"/>
  <c r="K22" i="23" s="1"/>
  <c r="K23" i="23" s="1"/>
  <c r="K24" i="23" s="1"/>
  <c r="K25" i="23" s="1"/>
  <c r="K26" i="23" s="1"/>
  <c r="K27" i="23" s="1"/>
  <c r="K28" i="23" s="1"/>
  <c r="K29" i="23" s="1"/>
  <c r="K30" i="23" s="1"/>
  <c r="K31" i="23" s="1"/>
  <c r="K32" i="23" s="1"/>
  <c r="K33" i="23" s="1"/>
  <c r="K34" i="23" s="1"/>
  <c r="K35" i="23" s="1"/>
  <c r="K36" i="23" s="1"/>
  <c r="K37" i="23" s="1"/>
  <c r="K38" i="23" s="1"/>
  <c r="K39" i="23" s="1"/>
  <c r="K40" i="23" s="1"/>
  <c r="K41" i="23" s="1"/>
  <c r="K42" i="23" s="1"/>
  <c r="K43" i="23" s="1"/>
  <c r="K44" i="23" s="1"/>
  <c r="K45" i="23" s="1"/>
  <c r="K46" i="23" s="1"/>
  <c r="K47" i="23" s="1"/>
  <c r="K48" i="23" s="1"/>
  <c r="K49" i="23" s="1"/>
  <c r="K50" i="23" s="1"/>
  <c r="K51" i="23" s="1"/>
  <c r="K52" i="23" s="1"/>
  <c r="K53" i="23" s="1"/>
  <c r="K54" i="23" s="1"/>
  <c r="K55" i="23" s="1"/>
  <c r="K56" i="23" s="1"/>
  <c r="K57" i="23" s="1"/>
  <c r="K58" i="23" s="1"/>
  <c r="K59" i="23" s="1"/>
  <c r="K60" i="23" s="1"/>
  <c r="K61" i="23" s="1"/>
  <c r="K62" i="23" s="1"/>
  <c r="K63" i="23" s="1"/>
  <c r="K64" i="23" s="1"/>
  <c r="K65" i="23" s="1"/>
  <c r="K66" i="23" s="1"/>
  <c r="K67" i="23" s="1"/>
  <c r="K68" i="23" s="1"/>
  <c r="K69" i="23" s="1"/>
  <c r="K70" i="23" s="1"/>
  <c r="K71" i="23" s="1"/>
  <c r="K72" i="23" s="1"/>
  <c r="K73" i="23" s="1"/>
  <c r="K74" i="23" s="1"/>
  <c r="K75" i="23" s="1"/>
  <c r="K76" i="23" s="1"/>
  <c r="K77" i="23" s="1"/>
  <c r="K78" i="23" s="1"/>
  <c r="K79" i="23" s="1"/>
  <c r="K80" i="23" s="1"/>
  <c r="K81" i="23" s="1"/>
  <c r="K82" i="23" s="1"/>
  <c r="K83" i="23" s="1"/>
  <c r="K84" i="23" s="1"/>
  <c r="K85" i="23" s="1"/>
  <c r="K86" i="23" s="1"/>
  <c r="K87" i="23" s="1"/>
  <c r="K88" i="23" s="1"/>
  <c r="K89" i="23" s="1"/>
  <c r="K90" i="23" s="1"/>
  <c r="K91" i="23" s="1"/>
  <c r="K92" i="23" s="1"/>
  <c r="K93" i="23" s="1"/>
  <c r="K94" i="23" s="1"/>
  <c r="K95" i="23" s="1"/>
  <c r="K96" i="23" s="1"/>
  <c r="K97" i="23" s="1"/>
  <c r="K98" i="23" s="1"/>
  <c r="K99" i="23" s="1"/>
  <c r="K100" i="23" s="1"/>
  <c r="K101" i="23" s="1"/>
  <c r="K102" i="23" s="1"/>
  <c r="K103" i="23" s="1"/>
  <c r="K104" i="23" s="1"/>
  <c r="K105" i="23" s="1"/>
  <c r="K106" i="23" s="1"/>
  <c r="K107" i="23" s="1"/>
  <c r="K108" i="23" s="1"/>
  <c r="K109" i="23" s="1"/>
  <c r="K110" i="23" s="1"/>
  <c r="K111" i="23" s="1"/>
  <c r="K112" i="23" s="1"/>
  <c r="K113" i="23" s="1"/>
  <c r="J19" i="23"/>
  <c r="J20" i="23" s="1"/>
  <c r="J21" i="23" s="1"/>
  <c r="J22" i="23" s="1"/>
  <c r="J23" i="23" s="1"/>
  <c r="J24" i="23" s="1"/>
  <c r="J25" i="23" s="1"/>
  <c r="J26" i="23" s="1"/>
  <c r="J27" i="23" s="1"/>
  <c r="J28" i="23" s="1"/>
  <c r="J29" i="23" s="1"/>
  <c r="J30" i="23" s="1"/>
  <c r="J31" i="23" s="1"/>
  <c r="J32" i="23" s="1"/>
  <c r="J33" i="23" s="1"/>
  <c r="J34" i="23" s="1"/>
  <c r="J35" i="23" s="1"/>
  <c r="J36" i="23" s="1"/>
  <c r="J37" i="23" s="1"/>
  <c r="J38" i="23" s="1"/>
  <c r="J39" i="23" s="1"/>
  <c r="J40" i="23" s="1"/>
  <c r="J41" i="23" s="1"/>
  <c r="J42" i="23" s="1"/>
  <c r="J43" i="23" s="1"/>
  <c r="J44" i="23" s="1"/>
  <c r="J45" i="23" s="1"/>
  <c r="J46" i="23" s="1"/>
  <c r="J47" i="23" s="1"/>
  <c r="J48" i="23" s="1"/>
  <c r="J49" i="23" s="1"/>
  <c r="J50" i="23" s="1"/>
  <c r="J51" i="23" s="1"/>
  <c r="J52" i="23" s="1"/>
  <c r="J53" i="23" s="1"/>
  <c r="J54" i="23" s="1"/>
  <c r="J55" i="23" s="1"/>
  <c r="J56" i="23" s="1"/>
  <c r="J57" i="23" s="1"/>
  <c r="J58" i="23" s="1"/>
  <c r="J59" i="23" s="1"/>
  <c r="J60" i="23" s="1"/>
  <c r="J61" i="23" s="1"/>
  <c r="J62" i="23" s="1"/>
  <c r="J63" i="23" s="1"/>
  <c r="J64" i="23" s="1"/>
  <c r="J65" i="23" s="1"/>
  <c r="J66" i="23" s="1"/>
  <c r="J67" i="23" s="1"/>
  <c r="J68" i="23" s="1"/>
  <c r="J69" i="23" s="1"/>
  <c r="J70" i="23" s="1"/>
  <c r="J71" i="23" s="1"/>
  <c r="J72" i="23" s="1"/>
  <c r="J73" i="23" s="1"/>
  <c r="J74" i="23" s="1"/>
  <c r="J75" i="23" s="1"/>
  <c r="J76" i="23" s="1"/>
  <c r="J77" i="23" s="1"/>
  <c r="J78" i="23" s="1"/>
  <c r="J79" i="23" s="1"/>
  <c r="J80" i="23" s="1"/>
  <c r="J81" i="23" s="1"/>
  <c r="J82" i="23" s="1"/>
  <c r="J83" i="23" s="1"/>
  <c r="J84" i="23" s="1"/>
  <c r="J85" i="23" s="1"/>
  <c r="J86" i="23" s="1"/>
  <c r="J87" i="23" s="1"/>
  <c r="J88" i="23" s="1"/>
  <c r="J89" i="23" s="1"/>
  <c r="J90" i="23" s="1"/>
  <c r="I19" i="23"/>
  <c r="I20" i="23" s="1"/>
  <c r="I21" i="23" s="1"/>
  <c r="I22" i="23" s="1"/>
  <c r="I23" i="23" s="1"/>
  <c r="I24" i="23" s="1"/>
  <c r="I25" i="23" s="1"/>
  <c r="I26" i="23" s="1"/>
  <c r="I27" i="23" s="1"/>
  <c r="I28" i="23" s="1"/>
  <c r="I29" i="23" s="1"/>
  <c r="I30" i="23" s="1"/>
  <c r="I31" i="23" s="1"/>
  <c r="I32" i="23" s="1"/>
  <c r="I33" i="23" s="1"/>
  <c r="I34" i="23" s="1"/>
  <c r="I35" i="23" s="1"/>
  <c r="I36" i="23" s="1"/>
  <c r="I37" i="23" s="1"/>
  <c r="I38" i="23" s="1"/>
  <c r="I39" i="23" s="1"/>
  <c r="I40" i="23" s="1"/>
  <c r="I41" i="23" s="1"/>
  <c r="I42" i="23" s="1"/>
  <c r="I43" i="23" s="1"/>
  <c r="I44" i="23" s="1"/>
  <c r="I45" i="23" s="1"/>
  <c r="I46" i="23" s="1"/>
  <c r="I47" i="23" s="1"/>
  <c r="I48" i="23" s="1"/>
  <c r="I49" i="23" s="1"/>
  <c r="I50" i="23" s="1"/>
  <c r="I51" i="23" s="1"/>
  <c r="I52" i="23" s="1"/>
  <c r="I53" i="23" s="1"/>
  <c r="I54" i="23" s="1"/>
  <c r="I55" i="23" s="1"/>
  <c r="I56" i="23" s="1"/>
  <c r="I57" i="23" s="1"/>
  <c r="I58" i="23" s="1"/>
  <c r="I59" i="23" s="1"/>
  <c r="I60" i="23" s="1"/>
  <c r="I61" i="23" s="1"/>
  <c r="I62" i="23" s="1"/>
  <c r="I63" i="23" s="1"/>
  <c r="I64" i="23" s="1"/>
  <c r="I65" i="23" s="1"/>
  <c r="I66" i="23" s="1"/>
  <c r="I67" i="23" s="1"/>
  <c r="I68" i="23" s="1"/>
  <c r="I69" i="23" s="1"/>
  <c r="I70" i="23" s="1"/>
  <c r="I71" i="23" s="1"/>
  <c r="I72" i="23" s="1"/>
  <c r="I73" i="23" s="1"/>
  <c r="I74" i="23" s="1"/>
  <c r="I75" i="23" s="1"/>
  <c r="I76" i="23" s="1"/>
  <c r="I77" i="23" s="1"/>
  <c r="I78" i="23" s="1"/>
  <c r="I79" i="23" s="1"/>
  <c r="I80" i="23" s="1"/>
  <c r="I81" i="23" s="1"/>
  <c r="I82" i="23" s="1"/>
  <c r="I83" i="23" s="1"/>
  <c r="I84" i="23" s="1"/>
  <c r="I85" i="23" s="1"/>
  <c r="I86" i="23" s="1"/>
  <c r="I87" i="23" s="1"/>
  <c r="I88" i="23" s="1"/>
  <c r="I89" i="23" s="1"/>
  <c r="I90" i="23" s="1"/>
  <c r="H19" i="23"/>
  <c r="H20" i="23" s="1"/>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C30" i="6"/>
  <c r="B6" i="21"/>
  <c r="B11" i="21" s="1"/>
  <c r="C11" i="21" s="1"/>
  <c r="D11" i="21" s="1"/>
  <c r="E11" i="21" s="1"/>
  <c r="F11" i="21" s="1"/>
  <c r="G11" i="21" s="1"/>
  <c r="H11" i="21" s="1"/>
  <c r="I11" i="21" s="1"/>
  <c r="J11" i="21" s="1"/>
  <c r="K11" i="21" s="1"/>
  <c r="A6" i="21"/>
  <c r="A11" i="21" s="1"/>
  <c r="B9" i="21"/>
  <c r="B5" i="21"/>
  <c r="A5" i="21"/>
  <c r="A10" i="21" s="1"/>
  <c r="A4" i="21"/>
  <c r="A9" i="21" s="1"/>
  <c r="F15" i="20"/>
  <c r="F12" i="20"/>
  <c r="F7" i="20"/>
  <c r="F4" i="20"/>
  <c r="E7" i="19"/>
  <c r="N10" i="19" s="1"/>
  <c r="D21" i="14"/>
  <c r="A21" i="14"/>
  <c r="D20" i="14"/>
  <c r="A20" i="14"/>
  <c r="R14" i="17"/>
  <c r="S13" i="17"/>
  <c r="S12" i="17"/>
  <c r="M2" i="17"/>
  <c r="S21" i="17"/>
  <c r="S20" i="17"/>
  <c r="S10" i="17"/>
  <c r="S9" i="17"/>
  <c r="G2" i="17"/>
  <c r="C22" i="17"/>
  <c r="C16" i="17"/>
  <c r="C10" i="17"/>
  <c r="C4" i="17"/>
  <c r="W118" i="23" l="1"/>
  <c r="B10" i="9"/>
  <c r="L27" i="9" s="1"/>
  <c r="U118" i="23"/>
  <c r="U119" i="23"/>
  <c r="V117" i="23"/>
  <c r="T119" i="23"/>
  <c r="B13" i="9"/>
  <c r="L118" i="23"/>
  <c r="B10" i="21"/>
  <c r="C10" i="21" s="1"/>
  <c r="D10" i="21" s="1"/>
  <c r="E10" i="21" s="1"/>
  <c r="F10" i="21" s="1"/>
  <c r="G10" i="21" s="1"/>
  <c r="H10" i="21" s="1"/>
  <c r="I10" i="21" s="1"/>
  <c r="J10" i="21" s="1"/>
  <c r="K10" i="21" s="1"/>
  <c r="G4" i="21"/>
  <c r="T9" i="17"/>
  <c r="T10" i="17" s="1"/>
  <c r="C15" i="30"/>
  <c r="N23" i="27"/>
  <c r="C9" i="21"/>
  <c r="D9" i="21" s="1"/>
  <c r="E9" i="21" s="1"/>
  <c r="F9" i="21" s="1"/>
  <c r="G9" i="21" s="1"/>
  <c r="H9" i="21" s="1"/>
  <c r="I91" i="23"/>
  <c r="I92" i="23" s="1"/>
  <c r="I93" i="23" s="1"/>
  <c r="I94" i="23" s="1"/>
  <c r="I95" i="23" s="1"/>
  <c r="I96" i="23" s="1"/>
  <c r="I97" i="23" s="1"/>
  <c r="I98" i="23" s="1"/>
  <c r="I99" i="23" s="1"/>
  <c r="I100" i="23" s="1"/>
  <c r="I101" i="23" s="1"/>
  <c r="I102" i="23" s="1"/>
  <c r="I103" i="23" s="1"/>
  <c r="I104" i="23" s="1"/>
  <c r="I105" i="23" s="1"/>
  <c r="I106" i="23" s="1"/>
  <c r="I107" i="23" s="1"/>
  <c r="I108" i="23" s="1"/>
  <c r="I109" i="23" s="1"/>
  <c r="I110" i="23" s="1"/>
  <c r="I111" i="23" s="1"/>
  <c r="I112" i="23" s="1"/>
  <c r="I113" i="23" s="1"/>
  <c r="D13" i="23"/>
  <c r="G122" i="23"/>
  <c r="G121" i="23"/>
  <c r="G123" i="23"/>
  <c r="E123" i="23"/>
  <c r="E122" i="23"/>
  <c r="E121" i="23"/>
  <c r="F122" i="23"/>
  <c r="F121" i="23"/>
  <c r="F123" i="23"/>
  <c r="H52" i="23"/>
  <c r="Q51" i="23"/>
  <c r="J91" i="23"/>
  <c r="J92" i="23" s="1"/>
  <c r="J93" i="23" s="1"/>
  <c r="J94" i="23" s="1"/>
  <c r="J95" i="23" s="1"/>
  <c r="J96" i="23" s="1"/>
  <c r="J97" i="23" s="1"/>
  <c r="J98" i="23" s="1"/>
  <c r="J99" i="23" s="1"/>
  <c r="J100" i="23" s="1"/>
  <c r="J101" i="23" s="1"/>
  <c r="J102" i="23" s="1"/>
  <c r="J103" i="23" s="1"/>
  <c r="J104" i="23" s="1"/>
  <c r="J105" i="23" s="1"/>
  <c r="J106" i="23" s="1"/>
  <c r="J107" i="23" s="1"/>
  <c r="J108" i="23" s="1"/>
  <c r="J109" i="23" s="1"/>
  <c r="J110" i="23" s="1"/>
  <c r="J111" i="23" s="1"/>
  <c r="J112" i="23" s="1"/>
  <c r="J113" i="23" s="1"/>
  <c r="D14" i="23"/>
  <c r="K117" i="23"/>
  <c r="J117" i="23"/>
  <c r="S117" i="23"/>
  <c r="U117" i="23"/>
  <c r="S119" i="23"/>
  <c r="K118" i="23"/>
  <c r="J118" i="23"/>
  <c r="T117" i="23"/>
  <c r="V118" i="23"/>
  <c r="L117" i="23"/>
  <c r="X118" i="23"/>
  <c r="M118" i="23"/>
  <c r="L119" i="23"/>
  <c r="V119" i="23"/>
  <c r="M117" i="23"/>
  <c r="W117" i="23"/>
  <c r="S118" i="23"/>
  <c r="M119" i="23"/>
  <c r="W119" i="23"/>
  <c r="K119" i="23"/>
  <c r="X117" i="23"/>
  <c r="T118" i="23"/>
  <c r="X119" i="23"/>
  <c r="J119" i="23"/>
  <c r="N13" i="19"/>
  <c r="N16" i="19"/>
  <c r="E10" i="19"/>
  <c r="N4" i="19"/>
  <c r="N7" i="19"/>
  <c r="T12" i="17"/>
  <c r="T13" i="17" s="1"/>
  <c r="T20" i="17"/>
  <c r="T21" i="17" s="1"/>
  <c r="A26" i="17"/>
  <c r="B25" i="6"/>
  <c r="B6" i="16" s="1"/>
  <c r="C15" i="15"/>
  <c r="L8" i="16"/>
  <c r="K8" i="16"/>
  <c r="J8" i="16"/>
  <c r="I8" i="16"/>
  <c r="H8" i="16"/>
  <c r="G8" i="16"/>
  <c r="F8" i="16"/>
  <c r="E8" i="16"/>
  <c r="D8" i="16"/>
  <c r="B11" i="16"/>
  <c r="A7" i="14"/>
  <c r="A8" i="14"/>
  <c r="A9" i="14"/>
  <c r="A10" i="14"/>
  <c r="B388" i="1"/>
  <c r="B390" i="1" s="1"/>
  <c r="C390" i="1" s="1"/>
  <c r="C5" i="13"/>
  <c r="B5" i="13"/>
  <c r="C4" i="13"/>
  <c r="C3" i="13"/>
  <c r="D23" i="6"/>
  <c r="E23" i="6"/>
  <c r="F23" i="6"/>
  <c r="G23" i="6"/>
  <c r="H23" i="6"/>
  <c r="I23" i="6"/>
  <c r="J23" i="6"/>
  <c r="K23" i="6"/>
  <c r="L23" i="6"/>
  <c r="B4" i="13"/>
  <c r="B3" i="13"/>
  <c r="C2" i="13"/>
  <c r="B2" i="13"/>
  <c r="D31" i="12"/>
  <c r="D21" i="12"/>
  <c r="D11" i="12"/>
  <c r="C18" i="12"/>
  <c r="C19" i="12"/>
  <c r="M23" i="12" s="1"/>
  <c r="C20" i="12"/>
  <c r="C21" i="12"/>
  <c r="B24" i="12"/>
  <c r="B23" i="12"/>
  <c r="C28" i="12"/>
  <c r="C29" i="12"/>
  <c r="K33" i="12" s="1"/>
  <c r="C30" i="12"/>
  <c r="C31" i="12"/>
  <c r="B34" i="12"/>
  <c r="B33" i="12"/>
  <c r="B32" i="12"/>
  <c r="B31" i="12"/>
  <c r="B30" i="12"/>
  <c r="B29" i="12"/>
  <c r="B28" i="12"/>
  <c r="B27" i="12"/>
  <c r="B20" i="12"/>
  <c r="B19" i="12"/>
  <c r="B18" i="12"/>
  <c r="B17" i="12"/>
  <c r="C8" i="12"/>
  <c r="C9" i="12"/>
  <c r="C10" i="12"/>
  <c r="C11" i="12"/>
  <c r="D4" i="12"/>
  <c r="C7" i="29" s="1"/>
  <c r="D3" i="12"/>
  <c r="C6" i="29" s="1"/>
  <c r="C4" i="12"/>
  <c r="B7" i="29" s="1"/>
  <c r="B482" i="1"/>
  <c r="C32" i="12" s="1"/>
  <c r="B481" i="1"/>
  <c r="C481" i="1" s="1"/>
  <c r="B469" i="1"/>
  <c r="B470" i="1" s="1"/>
  <c r="B471" i="1" s="1"/>
  <c r="B472" i="1" s="1"/>
  <c r="B473" i="1" s="1"/>
  <c r="B474" i="1" s="1"/>
  <c r="B475" i="1" s="1"/>
  <c r="B476" i="1" s="1"/>
  <c r="B477" i="1" s="1"/>
  <c r="B478" i="1" s="1"/>
  <c r="B479" i="1" s="1"/>
  <c r="B468" i="1"/>
  <c r="B462" i="1"/>
  <c r="C462" i="1" s="1"/>
  <c r="B454" i="1"/>
  <c r="C454" i="1" s="1"/>
  <c r="B441" i="1"/>
  <c r="C441" i="1" s="1"/>
  <c r="B435" i="1"/>
  <c r="C435" i="1" s="1"/>
  <c r="B22" i="12"/>
  <c r="B21" i="12"/>
  <c r="B14" i="12"/>
  <c r="B13" i="12"/>
  <c r="B12" i="12"/>
  <c r="B11" i="12"/>
  <c r="B10" i="12"/>
  <c r="B9" i="12"/>
  <c r="B8" i="12"/>
  <c r="B7" i="12"/>
  <c r="D2" i="12"/>
  <c r="C5" i="29" s="1"/>
  <c r="B4" i="12"/>
  <c r="A7" i="29" s="1"/>
  <c r="B3" i="12"/>
  <c r="A6" i="29" s="1"/>
  <c r="B2" i="12"/>
  <c r="A5" i="29" s="1"/>
  <c r="B426" i="1"/>
  <c r="C426" i="1" s="1"/>
  <c r="B413" i="1"/>
  <c r="C413" i="1" s="1"/>
  <c r="B407" i="1"/>
  <c r="C407" i="1" s="1"/>
  <c r="B189" i="1"/>
  <c r="C27" i="6" s="1"/>
  <c r="B148" i="11"/>
  <c r="C73" i="11"/>
  <c r="C74" i="11"/>
  <c r="C75" i="11"/>
  <c r="C76" i="11"/>
  <c r="C77" i="11"/>
  <c r="C78" i="11"/>
  <c r="C79" i="11"/>
  <c r="C80" i="11"/>
  <c r="C81" i="11"/>
  <c r="C82" i="11"/>
  <c r="C83" i="11"/>
  <c r="C84" i="11"/>
  <c r="C85" i="11"/>
  <c r="C86" i="11"/>
  <c r="C87" i="11"/>
  <c r="C89" i="11"/>
  <c r="C90" i="11"/>
  <c r="C91" i="11"/>
  <c r="C92" i="11"/>
  <c r="C93" i="11"/>
  <c r="C94" i="11"/>
  <c r="C95" i="11"/>
  <c r="C96" i="11"/>
  <c r="C97" i="11"/>
  <c r="C99" i="11"/>
  <c r="C100" i="11"/>
  <c r="C101" i="11"/>
  <c r="C102" i="11"/>
  <c r="C103" i="11"/>
  <c r="C104" i="11"/>
  <c r="C105" i="11"/>
  <c r="C106" i="11"/>
  <c r="C107" i="11"/>
  <c r="C108" i="11"/>
  <c r="C109" i="11"/>
  <c r="C110" i="11"/>
  <c r="C111" i="11"/>
  <c r="C112" i="11"/>
  <c r="C113" i="11"/>
  <c r="C115" i="11"/>
  <c r="C116" i="11"/>
  <c r="C117" i="11"/>
  <c r="C118" i="11"/>
  <c r="C119" i="11"/>
  <c r="C120" i="11"/>
  <c r="C121" i="11"/>
  <c r="C122" i="11"/>
  <c r="C123" i="11"/>
  <c r="C124" i="11"/>
  <c r="C125" i="11"/>
  <c r="C126" i="11"/>
  <c r="C127" i="11"/>
  <c r="C128"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A108" i="11"/>
  <c r="B108" i="11"/>
  <c r="A109" i="11"/>
  <c r="B109" i="11"/>
  <c r="A110" i="11"/>
  <c r="B110" i="11"/>
  <c r="A111" i="11"/>
  <c r="B111" i="11"/>
  <c r="A112" i="11"/>
  <c r="B112" i="11"/>
  <c r="A113" i="11"/>
  <c r="A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A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A149" i="11"/>
  <c r="B149" i="11"/>
  <c r="A150" i="11"/>
  <c r="B150" i="11"/>
  <c r="A151" i="11"/>
  <c r="B151" i="11"/>
  <c r="A152" i="11"/>
  <c r="B152" i="11"/>
  <c r="A153" i="11"/>
  <c r="A92" i="11"/>
  <c r="B92" i="11"/>
  <c r="A93" i="11"/>
  <c r="B93" i="11"/>
  <c r="A94" i="11"/>
  <c r="B94" i="11"/>
  <c r="A95" i="11"/>
  <c r="B95" i="11"/>
  <c r="A96" i="11"/>
  <c r="B96" i="11"/>
  <c r="A97" i="11"/>
  <c r="A98" i="11"/>
  <c r="A99" i="11"/>
  <c r="B99" i="11"/>
  <c r="A100" i="11"/>
  <c r="B100" i="11"/>
  <c r="A101" i="11"/>
  <c r="B101" i="11"/>
  <c r="A102" i="11"/>
  <c r="B102" i="11"/>
  <c r="A103" i="11"/>
  <c r="B103" i="11"/>
  <c r="A104" i="11"/>
  <c r="B104" i="11"/>
  <c r="A105" i="11"/>
  <c r="B105" i="11"/>
  <c r="A106" i="11"/>
  <c r="B106" i="11"/>
  <c r="A107" i="11"/>
  <c r="B107" i="11"/>
  <c r="A19" i="11"/>
  <c r="B19" i="11"/>
  <c r="A20" i="11"/>
  <c r="B20" i="11"/>
  <c r="A21" i="11"/>
  <c r="A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A39" i="11"/>
  <c r="A40" i="11"/>
  <c r="B40" i="11"/>
  <c r="A41" i="11"/>
  <c r="B41" i="11"/>
  <c r="A42" i="11"/>
  <c r="B42" i="11"/>
  <c r="A43" i="11"/>
  <c r="B43" i="11"/>
  <c r="A44" i="11"/>
  <c r="B44" i="11"/>
  <c r="A45" i="11"/>
  <c r="B45" i="11"/>
  <c r="A46" i="11"/>
  <c r="B46" i="11"/>
  <c r="A47" i="11"/>
  <c r="A48" i="11"/>
  <c r="A49" i="11"/>
  <c r="B49" i="11"/>
  <c r="A50" i="11"/>
  <c r="B50" i="11"/>
  <c r="A51" i="11"/>
  <c r="B51" i="11"/>
  <c r="A52" i="11"/>
  <c r="B52" i="11"/>
  <c r="A53" i="11"/>
  <c r="B53" i="11"/>
  <c r="A54" i="11"/>
  <c r="B54" i="11"/>
  <c r="A55" i="11"/>
  <c r="B55" i="11"/>
  <c r="A56" i="11"/>
  <c r="B56" i="11"/>
  <c r="A57" i="11"/>
  <c r="A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A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A88" i="11"/>
  <c r="A89" i="11"/>
  <c r="B89" i="11"/>
  <c r="A90" i="11"/>
  <c r="B90" i="11"/>
  <c r="A91" i="11"/>
  <c r="B91" i="11"/>
  <c r="B2" i="11"/>
  <c r="B3" i="11"/>
  <c r="B4" i="11"/>
  <c r="B5" i="11"/>
  <c r="B6" i="11"/>
  <c r="B9" i="11"/>
  <c r="B10" i="11"/>
  <c r="B11" i="11"/>
  <c r="B12" i="11"/>
  <c r="B13" i="11"/>
  <c r="B14" i="11"/>
  <c r="B15" i="11"/>
  <c r="B16" i="11"/>
  <c r="B17" i="11"/>
  <c r="B18" i="11"/>
  <c r="A2" i="11"/>
  <c r="A3" i="11"/>
  <c r="A4" i="11"/>
  <c r="A5" i="11"/>
  <c r="A6" i="11"/>
  <c r="A7" i="11"/>
  <c r="A8" i="11"/>
  <c r="A9" i="11"/>
  <c r="A10" i="11"/>
  <c r="A11" i="11"/>
  <c r="A12" i="11"/>
  <c r="A13" i="11"/>
  <c r="A14" i="11"/>
  <c r="A15" i="11"/>
  <c r="A16" i="11"/>
  <c r="A17" i="11"/>
  <c r="A18" i="11"/>
  <c r="A1" i="11"/>
  <c r="B153" i="11"/>
  <c r="B334" i="1"/>
  <c r="B349" i="1"/>
  <c r="B128" i="11" s="1"/>
  <c r="B272" i="1"/>
  <c r="B318" i="1"/>
  <c r="B308" i="1"/>
  <c r="B71" i="11"/>
  <c r="B262" i="1"/>
  <c r="B47" i="11" s="1"/>
  <c r="B253" i="1"/>
  <c r="B38" i="11" s="1"/>
  <c r="B236" i="1"/>
  <c r="B21" i="11" s="1"/>
  <c r="B222" i="1"/>
  <c r="B7" i="11" s="1"/>
  <c r="H8" i="10"/>
  <c r="H6" i="10"/>
  <c r="H7" i="10" s="1"/>
  <c r="H5" i="10"/>
  <c r="D30" i="6"/>
  <c r="E30" i="6" s="1"/>
  <c r="F30" i="6" s="1"/>
  <c r="G30" i="6" s="1"/>
  <c r="H30" i="6" s="1"/>
  <c r="I30" i="6" s="1"/>
  <c r="J30" i="6" s="1"/>
  <c r="K30" i="6" s="1"/>
  <c r="L30" i="6" s="1"/>
  <c r="B31" i="6"/>
  <c r="B9" i="16" s="1"/>
  <c r="B9" i="9"/>
  <c r="E149" i="1"/>
  <c r="B165" i="1"/>
  <c r="B23" i="28" s="1"/>
  <c r="C24" i="6"/>
  <c r="C159" i="1"/>
  <c r="D27" i="6" l="1"/>
  <c r="E27" i="6" s="1"/>
  <c r="F27" i="6" s="1"/>
  <c r="G27" i="6" s="1"/>
  <c r="H27" i="6" s="1"/>
  <c r="I27" i="6" s="1"/>
  <c r="J27" i="6" s="1"/>
  <c r="K27" i="6" s="1"/>
  <c r="L27" i="6" s="1"/>
  <c r="H15" i="10"/>
  <c r="D5" i="13"/>
  <c r="D25" i="29" s="1"/>
  <c r="D153" i="1"/>
  <c r="F153" i="1" s="1"/>
  <c r="D9" i="30" s="1"/>
  <c r="D151" i="1"/>
  <c r="F151" i="1" s="1"/>
  <c r="D7" i="30" s="1"/>
  <c r="D154" i="1"/>
  <c r="F154" i="1" s="1"/>
  <c r="D10" i="30" s="1"/>
  <c r="D149" i="1"/>
  <c r="F149" i="1" s="1"/>
  <c r="D5" i="30" s="1"/>
  <c r="D155" i="1"/>
  <c r="F155" i="1" s="1"/>
  <c r="D11" i="30" s="1"/>
  <c r="D152" i="1"/>
  <c r="F152" i="1" s="1"/>
  <c r="D8" i="30" s="1"/>
  <c r="D158" i="1"/>
  <c r="D150" i="1"/>
  <c r="F150" i="1" s="1"/>
  <c r="D6" i="30" s="1"/>
  <c r="D156" i="1"/>
  <c r="F156" i="1" s="1"/>
  <c r="D12" i="30" s="1"/>
  <c r="D157" i="1"/>
  <c r="F157" i="1" s="1"/>
  <c r="D13" i="30" s="1"/>
  <c r="B12" i="21"/>
  <c r="N4" i="27"/>
  <c r="N18" i="27"/>
  <c r="C12" i="21"/>
  <c r="E15" i="28"/>
  <c r="E18" i="28" s="1"/>
  <c r="F18" i="28" s="1"/>
  <c r="G18" i="28" s="1"/>
  <c r="H18" i="28" s="1"/>
  <c r="I18" i="28" s="1"/>
  <c r="J18" i="28" s="1"/>
  <c r="K18" i="28" s="1"/>
  <c r="L18" i="28" s="1"/>
  <c r="M18" i="28" s="1"/>
  <c r="N18" i="28" s="1"/>
  <c r="B113" i="11"/>
  <c r="N14" i="27"/>
  <c r="B97" i="11"/>
  <c r="N9" i="27"/>
  <c r="E12" i="21"/>
  <c r="G12" i="21"/>
  <c r="F12" i="21"/>
  <c r="I9" i="21"/>
  <c r="I12" i="21" s="1"/>
  <c r="H12" i="21"/>
  <c r="D12" i="21"/>
  <c r="B87" i="11"/>
  <c r="C23" i="27"/>
  <c r="B57" i="11"/>
  <c r="C12" i="27"/>
  <c r="H53" i="23"/>
  <c r="Q52" i="23"/>
  <c r="D123" i="23"/>
  <c r="B11" i="9" s="1"/>
  <c r="D122" i="23"/>
  <c r="D121" i="23"/>
  <c r="C123" i="23"/>
  <c r="C122" i="23"/>
  <c r="C121" i="23"/>
  <c r="D4" i="13"/>
  <c r="D22" i="29" s="1"/>
  <c r="D3" i="13"/>
  <c r="D19" i="29" s="1"/>
  <c r="D2" i="13"/>
  <c r="D16" i="29" s="1"/>
  <c r="H33" i="12"/>
  <c r="N33" i="12"/>
  <c r="F13" i="12"/>
  <c r="L13" i="12"/>
  <c r="F33" i="12"/>
  <c r="L33" i="12"/>
  <c r="H23" i="12"/>
  <c r="N23" i="12"/>
  <c r="G33" i="12"/>
  <c r="M33" i="12"/>
  <c r="I23" i="12"/>
  <c r="O23" i="12"/>
  <c r="K13" i="12"/>
  <c r="B483" i="1"/>
  <c r="C33" i="12" s="1"/>
  <c r="C27" i="12" s="1"/>
  <c r="F28" i="12" s="1"/>
  <c r="F29" i="12" s="1"/>
  <c r="I33" i="12"/>
  <c r="O33" i="12"/>
  <c r="K23" i="12"/>
  <c r="M13" i="12"/>
  <c r="F32" i="12"/>
  <c r="F61" i="12" s="1"/>
  <c r="J33" i="12"/>
  <c r="F23" i="12"/>
  <c r="L23" i="12"/>
  <c r="H13" i="12"/>
  <c r="N13" i="12"/>
  <c r="G23" i="12"/>
  <c r="I13" i="12"/>
  <c r="J32" i="12"/>
  <c r="J61" i="12" s="1"/>
  <c r="K32" i="12"/>
  <c r="K61" i="12" s="1"/>
  <c r="L32" i="12"/>
  <c r="L61" i="12" s="1"/>
  <c r="G32" i="12"/>
  <c r="G61" i="12" s="1"/>
  <c r="M32" i="12"/>
  <c r="M61" i="12" s="1"/>
  <c r="H32" i="12"/>
  <c r="H61" i="12" s="1"/>
  <c r="N32" i="12"/>
  <c r="N61" i="12" s="1"/>
  <c r="I32" i="12"/>
  <c r="I61" i="12" s="1"/>
  <c r="O32" i="12"/>
  <c r="O61" i="12" s="1"/>
  <c r="C468" i="1"/>
  <c r="E159" i="1"/>
  <c r="F158" i="1"/>
  <c r="D14" i="30" s="1"/>
  <c r="D24" i="6"/>
  <c r="E24" i="6" s="1"/>
  <c r="F24" i="6" s="1"/>
  <c r="G24" i="6" s="1"/>
  <c r="H24" i="6" s="1"/>
  <c r="I24" i="6" s="1"/>
  <c r="J24" i="6" s="1"/>
  <c r="K24" i="6" s="1"/>
  <c r="L24" i="6" s="1"/>
  <c r="D159" i="1" l="1"/>
  <c r="C159" i="11"/>
  <c r="B8" i="15" s="1"/>
  <c r="B9" i="15" s="1"/>
  <c r="B158" i="11"/>
  <c r="K68" i="12"/>
  <c r="H73" i="12"/>
  <c r="H68" i="12"/>
  <c r="O68" i="12"/>
  <c r="O73" i="12"/>
  <c r="M68" i="12"/>
  <c r="M73" i="12"/>
  <c r="I73" i="12"/>
  <c r="I68" i="12"/>
  <c r="G68" i="12"/>
  <c r="G73" i="12"/>
  <c r="L68" i="12"/>
  <c r="L73" i="12"/>
  <c r="F68" i="12"/>
  <c r="F52" i="12"/>
  <c r="F73" i="12"/>
  <c r="J68" i="12"/>
  <c r="J73" i="12"/>
  <c r="N68" i="12"/>
  <c r="N73" i="12"/>
  <c r="K73" i="12"/>
  <c r="M67" i="12"/>
  <c r="L72" i="12"/>
  <c r="L67" i="12"/>
  <c r="K67" i="12"/>
  <c r="K72" i="12"/>
  <c r="O67" i="12"/>
  <c r="O72" i="12"/>
  <c r="M72" i="12"/>
  <c r="N67" i="12"/>
  <c r="N72" i="12"/>
  <c r="I64" i="12"/>
  <c r="L64" i="12"/>
  <c r="F64" i="12"/>
  <c r="M64" i="12"/>
  <c r="H64" i="12"/>
  <c r="K64" i="12"/>
  <c r="N64" i="12"/>
  <c r="J10" i="29"/>
  <c r="P10" i="29"/>
  <c r="N10" i="29"/>
  <c r="M10" i="29"/>
  <c r="K10" i="29"/>
  <c r="H10" i="29"/>
  <c r="O10" i="29"/>
  <c r="D15" i="30"/>
  <c r="J9" i="21"/>
  <c r="J12" i="21" s="1"/>
  <c r="H12" i="27"/>
  <c r="H54" i="23"/>
  <c r="Q53" i="23"/>
  <c r="N38" i="12"/>
  <c r="F30" i="12"/>
  <c r="F31" i="12" s="1"/>
  <c r="F38" i="12" s="1"/>
  <c r="M38" i="12"/>
  <c r="L38" i="12"/>
  <c r="B484" i="1"/>
  <c r="C34" i="12" s="1"/>
  <c r="F43" i="12"/>
  <c r="O38" i="12"/>
  <c r="O37" i="12"/>
  <c r="N37" i="12"/>
  <c r="M37" i="12"/>
  <c r="L37" i="12"/>
  <c r="K37" i="12"/>
  <c r="K38" i="12"/>
  <c r="F159" i="1"/>
  <c r="B138" i="1" s="1"/>
  <c r="B18" i="28" s="1"/>
  <c r="F159" i="11" l="1"/>
  <c r="F160" i="11" s="1"/>
  <c r="J167" i="11"/>
  <c r="C160" i="11"/>
  <c r="D8" i="31" s="1"/>
  <c r="K159" i="11"/>
  <c r="J159" i="11"/>
  <c r="J160" i="11" s="1"/>
  <c r="L159" i="11"/>
  <c r="L160" i="11" s="1"/>
  <c r="I159" i="11"/>
  <c r="I160" i="11" s="1"/>
  <c r="D159" i="11"/>
  <c r="E12" i="31" s="1"/>
  <c r="E159" i="11"/>
  <c r="E160" i="11" s="1"/>
  <c r="B159" i="11"/>
  <c r="D12" i="31" s="1"/>
  <c r="G159" i="11"/>
  <c r="H159" i="11"/>
  <c r="H160" i="11" s="1"/>
  <c r="F53" i="12"/>
  <c r="F54" i="12" s="1"/>
  <c r="B5" i="15"/>
  <c r="B7" i="15" s="1"/>
  <c r="J164" i="11"/>
  <c r="B378" i="1"/>
  <c r="B409" i="1" s="1"/>
  <c r="K9" i="21"/>
  <c r="K12" i="21" s="1"/>
  <c r="H55" i="23"/>
  <c r="Q54" i="23"/>
  <c r="G28" i="12"/>
  <c r="G52" i="12" s="1"/>
  <c r="B140" i="1"/>
  <c r="D160" i="11" l="1"/>
  <c r="H12" i="31"/>
  <c r="C33" i="6"/>
  <c r="C161" i="11"/>
  <c r="C162" i="11" s="1"/>
  <c r="C8" i="15" s="1"/>
  <c r="J12" i="31"/>
  <c r="M12" i="31"/>
  <c r="F12" i="31"/>
  <c r="K12" i="31"/>
  <c r="G160" i="11"/>
  <c r="G33" i="6" s="1"/>
  <c r="G12" i="31"/>
  <c r="L12" i="31"/>
  <c r="I12" i="31"/>
  <c r="K160" i="11"/>
  <c r="K33" i="6" s="1"/>
  <c r="K167" i="11"/>
  <c r="B10" i="15"/>
  <c r="B6" i="14"/>
  <c r="B11" i="14" s="1"/>
  <c r="E33" i="6"/>
  <c r="F8" i="31"/>
  <c r="D33" i="6"/>
  <c r="E8" i="31"/>
  <c r="L33" i="6"/>
  <c r="M8" i="31"/>
  <c r="H33" i="6"/>
  <c r="I8" i="31"/>
  <c r="I33" i="6"/>
  <c r="J8" i="31"/>
  <c r="F33" i="6"/>
  <c r="G8" i="31"/>
  <c r="J33" i="6"/>
  <c r="K8" i="31"/>
  <c r="C26" i="6"/>
  <c r="B13" i="32" s="1"/>
  <c r="B19" i="28"/>
  <c r="E17" i="28" s="1"/>
  <c r="H56" i="23"/>
  <c r="Q55" i="23"/>
  <c r="G29" i="12"/>
  <c r="L8" i="31" l="1"/>
  <c r="D161" i="11"/>
  <c r="D162" i="11" s="1"/>
  <c r="D8" i="15" s="1"/>
  <c r="H8" i="31"/>
  <c r="B23" i="15"/>
  <c r="B21" i="15"/>
  <c r="C17" i="12"/>
  <c r="F18" i="12" s="1"/>
  <c r="F19" i="12" s="1"/>
  <c r="C3" i="12"/>
  <c r="B6" i="29" s="1"/>
  <c r="B457" i="1"/>
  <c r="C24" i="12" s="1"/>
  <c r="B442" i="1"/>
  <c r="B455" i="1"/>
  <c r="B7" i="14"/>
  <c r="B10" i="14"/>
  <c r="I7" i="14" s="1"/>
  <c r="B8" i="14"/>
  <c r="I8" i="14" s="1"/>
  <c r="B9" i="14"/>
  <c r="B414" i="1"/>
  <c r="F12" i="12" s="1"/>
  <c r="C2" i="12"/>
  <c r="B5" i="29" s="1"/>
  <c r="D26" i="6"/>
  <c r="E26" i="6" s="1"/>
  <c r="F26" i="6" s="1"/>
  <c r="B7" i="32"/>
  <c r="B427" i="1"/>
  <c r="C12" i="12" s="1"/>
  <c r="G13" i="12" s="1"/>
  <c r="C7" i="12"/>
  <c r="E19" i="28"/>
  <c r="F17" i="28"/>
  <c r="H57" i="23"/>
  <c r="Q56" i="23"/>
  <c r="G30" i="12"/>
  <c r="G53" i="12" s="1"/>
  <c r="G43" i="12"/>
  <c r="B25" i="28" l="1"/>
  <c r="B26" i="28" s="1"/>
  <c r="E161" i="11"/>
  <c r="E162" i="11" s="1"/>
  <c r="E8" i="15" s="1"/>
  <c r="I10" i="29"/>
  <c r="G64" i="12"/>
  <c r="B456" i="1"/>
  <c r="C23" i="12" s="1"/>
  <c r="C22" i="12"/>
  <c r="J23" i="12" s="1"/>
  <c r="B443" i="1"/>
  <c r="F22" i="12"/>
  <c r="F60" i="12" s="1"/>
  <c r="C13" i="31"/>
  <c r="F20" i="12"/>
  <c r="G18" i="12" s="1"/>
  <c r="J13" i="12"/>
  <c r="O13" i="12"/>
  <c r="I6" i="14"/>
  <c r="B5" i="16" s="1"/>
  <c r="B7" i="16" s="1"/>
  <c r="B415" i="1"/>
  <c r="G12" i="12" s="1"/>
  <c r="F8" i="12"/>
  <c r="H5" i="29" s="1"/>
  <c r="B428" i="1"/>
  <c r="C5" i="12"/>
  <c r="G17" i="28"/>
  <c r="F19" i="28"/>
  <c r="F59" i="12"/>
  <c r="H58" i="23"/>
  <c r="Q57" i="23"/>
  <c r="H28" i="12"/>
  <c r="H52" i="12" s="1"/>
  <c r="G31" i="12"/>
  <c r="G38" i="12" s="1"/>
  <c r="G26" i="6"/>
  <c r="F161" i="11" l="1"/>
  <c r="G161" i="11" s="1"/>
  <c r="G162" i="11" s="1"/>
  <c r="G8" i="15" s="1"/>
  <c r="F62" i="12"/>
  <c r="C29" i="6" s="1"/>
  <c r="L10" i="29"/>
  <c r="H9" i="29"/>
  <c r="F21" i="12"/>
  <c r="O71" i="12"/>
  <c r="O74" i="12" s="1"/>
  <c r="L71" i="12"/>
  <c r="L74" i="12" s="1"/>
  <c r="K71" i="12"/>
  <c r="K74" i="12" s="1"/>
  <c r="M71" i="12"/>
  <c r="M74" i="12" s="1"/>
  <c r="N71" i="12"/>
  <c r="N74" i="12" s="1"/>
  <c r="J71" i="12"/>
  <c r="G71" i="12"/>
  <c r="I71" i="12"/>
  <c r="H71" i="12"/>
  <c r="F71" i="12"/>
  <c r="B444" i="1"/>
  <c r="G22" i="12"/>
  <c r="G60" i="12" s="1"/>
  <c r="I9" i="14"/>
  <c r="L20" i="14" s="1"/>
  <c r="G19" i="12"/>
  <c r="J67" i="12"/>
  <c r="J72" i="12"/>
  <c r="H67" i="12"/>
  <c r="H72" i="12"/>
  <c r="G72" i="12"/>
  <c r="F72" i="12"/>
  <c r="I72" i="12"/>
  <c r="H37" i="12"/>
  <c r="F42" i="12"/>
  <c r="F37" i="12"/>
  <c r="G37" i="12"/>
  <c r="F49" i="12"/>
  <c r="I67" i="12"/>
  <c r="F67" i="12"/>
  <c r="I37" i="12"/>
  <c r="F50" i="12"/>
  <c r="G49" i="12"/>
  <c r="G67" i="12"/>
  <c r="J37" i="12"/>
  <c r="O66" i="12"/>
  <c r="O69" i="12" s="1"/>
  <c r="O64" i="12"/>
  <c r="M66" i="12"/>
  <c r="M69" i="12" s="1"/>
  <c r="L66" i="12"/>
  <c r="L69" i="12" s="1"/>
  <c r="N66" i="12"/>
  <c r="N69" i="12" s="1"/>
  <c r="K66" i="12"/>
  <c r="K69" i="12" s="1"/>
  <c r="J64" i="12"/>
  <c r="F46" i="12"/>
  <c r="E4" i="12"/>
  <c r="F4" i="12" s="1"/>
  <c r="E7" i="29" s="1"/>
  <c r="E2" i="12"/>
  <c r="F2" i="12" s="1"/>
  <c r="E5" i="29" s="1"/>
  <c r="E3" i="12"/>
  <c r="D6" i="29" s="1"/>
  <c r="Q10" i="29"/>
  <c r="C13" i="12"/>
  <c r="B429" i="1"/>
  <c r="C14" i="12" s="1"/>
  <c r="B416" i="1"/>
  <c r="B417" i="1" s="1"/>
  <c r="F9" i="12"/>
  <c r="H6" i="29" s="1"/>
  <c r="C8" i="16"/>
  <c r="B8" i="29"/>
  <c r="G19" i="28"/>
  <c r="H17" i="28"/>
  <c r="G59" i="12"/>
  <c r="H59" i="23"/>
  <c r="Q58" i="23"/>
  <c r="G54" i="12"/>
  <c r="H29" i="12"/>
  <c r="H161" i="11"/>
  <c r="H162" i="11" s="1"/>
  <c r="H8" i="15" s="1"/>
  <c r="F162" i="11"/>
  <c r="F8" i="15" s="1"/>
  <c r="H26" i="6"/>
  <c r="G62" i="12" l="1"/>
  <c r="D29" i="6" s="1"/>
  <c r="I9" i="29"/>
  <c r="H20" i="14"/>
  <c r="J20" i="14"/>
  <c r="J11" i="15"/>
  <c r="I11" i="15"/>
  <c r="H11" i="15"/>
  <c r="G11" i="15"/>
  <c r="K11" i="15"/>
  <c r="F51" i="12"/>
  <c r="I74" i="12"/>
  <c r="G74" i="12"/>
  <c r="B445" i="1"/>
  <c r="H22" i="12"/>
  <c r="H60" i="12" s="1"/>
  <c r="H9" i="15"/>
  <c r="F74" i="12"/>
  <c r="O75" i="12" s="1"/>
  <c r="J74" i="12"/>
  <c r="B9" i="26"/>
  <c r="F55" i="12"/>
  <c r="B12" i="15" s="1"/>
  <c r="H74" i="12"/>
  <c r="G42" i="12"/>
  <c r="G20" i="12"/>
  <c r="G21" i="12" s="1"/>
  <c r="L13" i="15"/>
  <c r="H12" i="12"/>
  <c r="D7" i="29"/>
  <c r="F41" i="12"/>
  <c r="F44" i="12" s="1"/>
  <c r="C35" i="6" s="1"/>
  <c r="F10" i="12"/>
  <c r="F47" i="12" s="1"/>
  <c r="F3" i="12"/>
  <c r="E6" i="29" s="1"/>
  <c r="D5" i="29"/>
  <c r="I17" i="28"/>
  <c r="H19" i="28"/>
  <c r="Q59" i="23"/>
  <c r="H60" i="23"/>
  <c r="B418" i="1"/>
  <c r="I12" i="12"/>
  <c r="H43" i="12"/>
  <c r="H30" i="12"/>
  <c r="H53" i="12" s="1"/>
  <c r="I161" i="11"/>
  <c r="J161" i="11" s="1"/>
  <c r="I26" i="6"/>
  <c r="L75" i="12" l="1"/>
  <c r="M75" i="12"/>
  <c r="D11" i="15"/>
  <c r="H75" i="12"/>
  <c r="F11" i="15"/>
  <c r="J75" i="12"/>
  <c r="C11" i="15"/>
  <c r="G75" i="12"/>
  <c r="B11" i="15"/>
  <c r="B13" i="15" s="1"/>
  <c r="F75" i="12"/>
  <c r="B14" i="15" s="1"/>
  <c r="P75" i="12"/>
  <c r="I75" i="12"/>
  <c r="E11" i="15"/>
  <c r="K75" i="12"/>
  <c r="N75" i="12"/>
  <c r="J9" i="29"/>
  <c r="H7" i="29"/>
  <c r="F66" i="12"/>
  <c r="F69" i="12" s="1"/>
  <c r="C9" i="15" s="1"/>
  <c r="B446" i="1"/>
  <c r="I22" i="12"/>
  <c r="I60" i="12" s="1"/>
  <c r="H18" i="12"/>
  <c r="G50" i="12"/>
  <c r="G51" i="12" s="1"/>
  <c r="H59" i="12"/>
  <c r="H62" i="12" s="1"/>
  <c r="E29" i="6" s="1"/>
  <c r="G8" i="12"/>
  <c r="F48" i="12"/>
  <c r="F57" i="12" s="1"/>
  <c r="F11" i="12"/>
  <c r="F5" i="12"/>
  <c r="J17" i="28"/>
  <c r="I19" i="28"/>
  <c r="I59" i="12"/>
  <c r="H61" i="23"/>
  <c r="Q60" i="23"/>
  <c r="B419" i="1"/>
  <c r="J12" i="12"/>
  <c r="I28" i="12"/>
  <c r="I52" i="12" s="1"/>
  <c r="H31" i="12"/>
  <c r="H38" i="12" s="1"/>
  <c r="I162" i="11"/>
  <c r="I8" i="15" s="1"/>
  <c r="K161" i="11"/>
  <c r="J162" i="11"/>
  <c r="J8" i="15" s="1"/>
  <c r="J26" i="6"/>
  <c r="I5" i="29" l="1"/>
  <c r="G46" i="12"/>
  <c r="G55" i="12" s="1"/>
  <c r="C12" i="15" s="1"/>
  <c r="L14" i="15"/>
  <c r="F14" i="15"/>
  <c r="K14" i="15"/>
  <c r="E14" i="15"/>
  <c r="J14" i="15"/>
  <c r="D14" i="15"/>
  <c r="I14" i="15"/>
  <c r="C14" i="15"/>
  <c r="H14" i="15"/>
  <c r="G14" i="15"/>
  <c r="B8" i="16"/>
  <c r="B12" i="16" s="1"/>
  <c r="B13" i="16" s="1"/>
  <c r="C5" i="16" s="1"/>
  <c r="B17" i="15"/>
  <c r="I62" i="12"/>
  <c r="F29" i="6" s="1"/>
  <c r="K9" i="29"/>
  <c r="B447" i="1"/>
  <c r="J22" i="12"/>
  <c r="J60" i="12" s="1"/>
  <c r="H19" i="12"/>
  <c r="H49" i="12"/>
  <c r="I9" i="15"/>
  <c r="J9" i="15"/>
  <c r="H8" i="29"/>
  <c r="F36" i="12"/>
  <c r="F39" i="12" s="1"/>
  <c r="C28" i="6" s="1"/>
  <c r="B14" i="32" s="1"/>
  <c r="G9" i="12"/>
  <c r="I6" i="29" s="1"/>
  <c r="F56" i="12"/>
  <c r="C10" i="16" s="1"/>
  <c r="E8" i="29"/>
  <c r="K17" i="28"/>
  <c r="J19" i="28"/>
  <c r="J59" i="12"/>
  <c r="H62" i="23"/>
  <c r="Q61" i="23"/>
  <c r="B420" i="1"/>
  <c r="K12" i="12"/>
  <c r="H54" i="12"/>
  <c r="I29" i="12"/>
  <c r="L161" i="11"/>
  <c r="L162" i="11" s="1"/>
  <c r="K162" i="11"/>
  <c r="K8" i="15" s="1"/>
  <c r="K26" i="6"/>
  <c r="B18" i="15" l="1"/>
  <c r="F21" i="15" s="1"/>
  <c r="L8" i="15"/>
  <c r="L9" i="15" s="1"/>
  <c r="L9" i="29"/>
  <c r="J62" i="12"/>
  <c r="G29" i="6" s="1"/>
  <c r="H42" i="12"/>
  <c r="H20" i="12"/>
  <c r="H21" i="12" s="1"/>
  <c r="C13" i="15"/>
  <c r="E11" i="31"/>
  <c r="K11" i="31"/>
  <c r="F11" i="31"/>
  <c r="L11" i="31"/>
  <c r="J11" i="31"/>
  <c r="G11" i="31"/>
  <c r="M11" i="31"/>
  <c r="H11" i="31"/>
  <c r="D11" i="31"/>
  <c r="I11" i="31"/>
  <c r="K9" i="15"/>
  <c r="B448" i="1"/>
  <c r="K22" i="12"/>
  <c r="K60" i="12" s="1"/>
  <c r="B8" i="32"/>
  <c r="C31" i="6"/>
  <c r="C9" i="16" s="1"/>
  <c r="G41" i="12"/>
  <c r="G44" i="12" s="1"/>
  <c r="D35" i="6" s="1"/>
  <c r="G10" i="12"/>
  <c r="G47" i="12" s="1"/>
  <c r="L17" i="28"/>
  <c r="K19" i="28"/>
  <c r="K59" i="12"/>
  <c r="Q62" i="23"/>
  <c r="H63" i="23"/>
  <c r="B421" i="1"/>
  <c r="L12" i="12"/>
  <c r="I43" i="12"/>
  <c r="I30" i="12"/>
  <c r="L26" i="6"/>
  <c r="B19" i="15" l="1"/>
  <c r="I31" i="12"/>
  <c r="I38" i="12" s="1"/>
  <c r="I53" i="12"/>
  <c r="F23" i="15"/>
  <c r="M9" i="29"/>
  <c r="K62" i="12"/>
  <c r="H29" i="6" s="1"/>
  <c r="I18" i="12"/>
  <c r="H50" i="12"/>
  <c r="H51" i="12" s="1"/>
  <c r="G11" i="12"/>
  <c r="I8" i="29" s="1"/>
  <c r="G66" i="12"/>
  <c r="G69" i="12" s="1"/>
  <c r="B449" i="1"/>
  <c r="L22" i="12"/>
  <c r="L60" i="12" s="1"/>
  <c r="G48" i="12"/>
  <c r="G57" i="12" s="1"/>
  <c r="I7" i="29"/>
  <c r="H8" i="12"/>
  <c r="L19" i="28"/>
  <c r="M17" i="28"/>
  <c r="L59" i="12"/>
  <c r="H64" i="23"/>
  <c r="Q63" i="23"/>
  <c r="B422" i="1"/>
  <c r="M12" i="12"/>
  <c r="J28" i="12"/>
  <c r="J52" i="12" s="1"/>
  <c r="J5" i="29" l="1"/>
  <c r="H46" i="12"/>
  <c r="H55" i="12" s="1"/>
  <c r="D12" i="15" s="1"/>
  <c r="D13" i="15" s="1"/>
  <c r="B450" i="1"/>
  <c r="M22" i="12"/>
  <c r="M60" i="12" s="1"/>
  <c r="D9" i="15"/>
  <c r="N9" i="29"/>
  <c r="L62" i="12"/>
  <c r="I29" i="6" s="1"/>
  <c r="G36" i="12"/>
  <c r="G39" i="12" s="1"/>
  <c r="D28" i="6" s="1"/>
  <c r="D31" i="6" s="1"/>
  <c r="D9" i="16" s="1"/>
  <c r="I49" i="12"/>
  <c r="I19" i="12"/>
  <c r="G56" i="12"/>
  <c r="D10" i="16" s="1"/>
  <c r="H9" i="12"/>
  <c r="H41" i="12" s="1"/>
  <c r="H44" i="12" s="1"/>
  <c r="E35" i="6" s="1"/>
  <c r="N17" i="28"/>
  <c r="N19" i="28" s="1"/>
  <c r="M19" i="28"/>
  <c r="M59" i="12"/>
  <c r="H65" i="23"/>
  <c r="Q64" i="23"/>
  <c r="B423" i="1"/>
  <c r="N12" i="12"/>
  <c r="I54" i="12"/>
  <c r="J29" i="12"/>
  <c r="M62" i="12" l="1"/>
  <c r="J29" i="6" s="1"/>
  <c r="O9" i="29"/>
  <c r="I42" i="12"/>
  <c r="I20" i="12"/>
  <c r="I21" i="12" s="1"/>
  <c r="B451" i="1"/>
  <c r="N22" i="12"/>
  <c r="N60" i="12" s="1"/>
  <c r="H10" i="12"/>
  <c r="H47" i="12" s="1"/>
  <c r="J6" i="29"/>
  <c r="N59" i="12"/>
  <c r="Q65" i="23"/>
  <c r="H66" i="23"/>
  <c r="B424" i="1"/>
  <c r="O12" i="12"/>
  <c r="J43" i="12"/>
  <c r="J30" i="12"/>
  <c r="J31" i="12" l="1"/>
  <c r="J38" i="12" s="1"/>
  <c r="J53" i="12"/>
  <c r="B452" i="1"/>
  <c r="O22" i="12"/>
  <c r="O60" i="12" s="1"/>
  <c r="P9" i="29"/>
  <c r="N62" i="12"/>
  <c r="K29" i="6" s="1"/>
  <c r="J18" i="12"/>
  <c r="I50" i="12"/>
  <c r="I51" i="12" s="1"/>
  <c r="I8" i="12"/>
  <c r="K5" i="29" s="1"/>
  <c r="H66" i="12"/>
  <c r="H69" i="12" s="1"/>
  <c r="H11" i="12"/>
  <c r="H48" i="12"/>
  <c r="H57" i="12" s="1"/>
  <c r="J7" i="29"/>
  <c r="O59" i="12"/>
  <c r="H67" i="23"/>
  <c r="Q66" i="23"/>
  <c r="K28" i="12"/>
  <c r="K52" i="12" s="1"/>
  <c r="Q9" i="29" l="1"/>
  <c r="I9" i="12"/>
  <c r="I10" i="12" s="1"/>
  <c r="I47" i="12" s="1"/>
  <c r="O62" i="12"/>
  <c r="L29" i="6" s="1"/>
  <c r="I46" i="12"/>
  <c r="I55" i="12" s="1"/>
  <c r="E12" i="15" s="1"/>
  <c r="E13" i="15" s="1"/>
  <c r="J49" i="12"/>
  <c r="J19" i="12"/>
  <c r="E9" i="15"/>
  <c r="F9" i="15"/>
  <c r="J8" i="29"/>
  <c r="H36" i="12"/>
  <c r="H39" i="12" s="1"/>
  <c r="E28" i="6" s="1"/>
  <c r="E31" i="6" s="1"/>
  <c r="E9" i="16" s="1"/>
  <c r="H56" i="12"/>
  <c r="E10" i="16" s="1"/>
  <c r="H68" i="23"/>
  <c r="Q67" i="23"/>
  <c r="J54" i="12"/>
  <c r="K29" i="12"/>
  <c r="I66" i="12" l="1"/>
  <c r="I69" i="12" s="1"/>
  <c r="I11" i="12"/>
  <c r="K8" i="29" s="1"/>
  <c r="K7" i="29"/>
  <c r="I41" i="12"/>
  <c r="I44" i="12" s="1"/>
  <c r="F35" i="6" s="1"/>
  <c r="K6" i="29"/>
  <c r="J8" i="12"/>
  <c r="J46" i="12" s="1"/>
  <c r="J55" i="12" s="1"/>
  <c r="F12" i="15" s="1"/>
  <c r="J20" i="12"/>
  <c r="J21" i="12" s="1"/>
  <c r="J42" i="12"/>
  <c r="I56" i="12"/>
  <c r="I48" i="12"/>
  <c r="I57" i="12" s="1"/>
  <c r="Q68" i="23"/>
  <c r="H69" i="23"/>
  <c r="K43" i="12"/>
  <c r="K30" i="12"/>
  <c r="K53" i="12" s="1"/>
  <c r="I36" i="12" l="1"/>
  <c r="I39" i="12" s="1"/>
  <c r="F28" i="6" s="1"/>
  <c r="F31" i="6" s="1"/>
  <c r="F9" i="16" s="1"/>
  <c r="F10" i="16"/>
  <c r="L5" i="29"/>
  <c r="J9" i="12"/>
  <c r="L6" i="29" s="1"/>
  <c r="J50" i="12"/>
  <c r="J51" i="12" s="1"/>
  <c r="K18" i="12"/>
  <c r="F13" i="15"/>
  <c r="H70" i="23"/>
  <c r="Q69" i="23"/>
  <c r="K31" i="12"/>
  <c r="L28" i="12"/>
  <c r="L52" i="12" s="1"/>
  <c r="J41" i="12" l="1"/>
  <c r="J44" i="12" s="1"/>
  <c r="G35" i="6" s="1"/>
  <c r="J10" i="12"/>
  <c r="K8" i="12" s="1"/>
  <c r="K46" i="12" s="1"/>
  <c r="G9" i="15"/>
  <c r="K49" i="12"/>
  <c r="K19" i="12"/>
  <c r="H71" i="23"/>
  <c r="Q70" i="23"/>
  <c r="K54" i="12"/>
  <c r="L29" i="12"/>
  <c r="J66" i="12" l="1"/>
  <c r="J69" i="12" s="1"/>
  <c r="J47" i="12"/>
  <c r="J11" i="12"/>
  <c r="J36" i="12" s="1"/>
  <c r="J39" i="12" s="1"/>
  <c r="G28" i="6" s="1"/>
  <c r="G31" i="6" s="1"/>
  <c r="G9" i="16" s="1"/>
  <c r="L7" i="29"/>
  <c r="K42" i="12"/>
  <c r="K20" i="12"/>
  <c r="K21" i="12" s="1"/>
  <c r="L8" i="29"/>
  <c r="M5" i="29"/>
  <c r="K55" i="12"/>
  <c r="G12" i="15" s="1"/>
  <c r="K9" i="12"/>
  <c r="J56" i="12"/>
  <c r="G10" i="16" s="1"/>
  <c r="J48" i="12"/>
  <c r="J57" i="12" s="1"/>
  <c r="Q71" i="23"/>
  <c r="H72" i="23"/>
  <c r="L43" i="12"/>
  <c r="L30" i="12"/>
  <c r="L31" i="12" l="1"/>
  <c r="L53" i="12"/>
  <c r="L18" i="12"/>
  <c r="K50" i="12"/>
  <c r="K51" i="12" s="1"/>
  <c r="G13" i="15"/>
  <c r="M6" i="29"/>
  <c r="K10" i="12"/>
  <c r="K47" i="12" s="1"/>
  <c r="K41" i="12"/>
  <c r="K44" i="12" s="1"/>
  <c r="H35" i="6" s="1"/>
  <c r="H73" i="23"/>
  <c r="Q72" i="23"/>
  <c r="M28" i="12"/>
  <c r="M52" i="12" s="1"/>
  <c r="L49" i="12" l="1"/>
  <c r="L19" i="12"/>
  <c r="K11" i="12"/>
  <c r="L8" i="12"/>
  <c r="L46" i="12" s="1"/>
  <c r="M7" i="29"/>
  <c r="H74" i="23"/>
  <c r="Q73" i="23"/>
  <c r="M29" i="12"/>
  <c r="L54" i="12"/>
  <c r="L42" i="12" l="1"/>
  <c r="L20" i="12"/>
  <c r="L21" i="12" s="1"/>
  <c r="M8" i="29"/>
  <c r="K36" i="12"/>
  <c r="K39" i="12" s="1"/>
  <c r="H28" i="6" s="1"/>
  <c r="H31" i="6" s="1"/>
  <c r="H9" i="16" s="1"/>
  <c r="K56" i="12"/>
  <c r="H10" i="16" s="1"/>
  <c r="K48" i="12"/>
  <c r="K57" i="12" s="1"/>
  <c r="N5" i="29"/>
  <c r="L9" i="12"/>
  <c r="L55" i="12"/>
  <c r="H12" i="15" s="1"/>
  <c r="Q74" i="23"/>
  <c r="H75" i="23"/>
  <c r="M30" i="12"/>
  <c r="M43" i="12"/>
  <c r="M31" i="12" l="1"/>
  <c r="M53" i="12"/>
  <c r="M18" i="12"/>
  <c r="L50" i="12"/>
  <c r="L51" i="12" s="1"/>
  <c r="H13" i="15"/>
  <c r="N6" i="29"/>
  <c r="L10" i="12"/>
  <c r="L41" i="12"/>
  <c r="L44" i="12" s="1"/>
  <c r="I35" i="6" s="1"/>
  <c r="H76" i="23"/>
  <c r="Q75" i="23"/>
  <c r="N28" i="12"/>
  <c r="N52" i="12" s="1"/>
  <c r="M49" i="12" l="1"/>
  <c r="M19" i="12"/>
  <c r="L11" i="12"/>
  <c r="N8" i="29" s="1"/>
  <c r="L47" i="12"/>
  <c r="L36" i="12"/>
  <c r="L39" i="12" s="1"/>
  <c r="I28" i="6" s="1"/>
  <c r="I31" i="6" s="1"/>
  <c r="I9" i="16" s="1"/>
  <c r="N7" i="29"/>
  <c r="M8" i="12"/>
  <c r="M46" i="12" s="1"/>
  <c r="H77" i="23"/>
  <c r="Q76" i="23"/>
  <c r="M54" i="12"/>
  <c r="N29" i="12"/>
  <c r="M20" i="12" l="1"/>
  <c r="M21" i="12" s="1"/>
  <c r="M42" i="12"/>
  <c r="L56" i="12"/>
  <c r="I10" i="16" s="1"/>
  <c r="L48" i="12"/>
  <c r="L57" i="12" s="1"/>
  <c r="O5" i="29"/>
  <c r="M55" i="12"/>
  <c r="I12" i="15" s="1"/>
  <c r="M9" i="12"/>
  <c r="Q77" i="23"/>
  <c r="H78" i="23"/>
  <c r="N30" i="12"/>
  <c r="N43" i="12"/>
  <c r="N31" i="12" l="1"/>
  <c r="N53" i="12"/>
  <c r="M50" i="12"/>
  <c r="M51" i="12" s="1"/>
  <c r="N18" i="12"/>
  <c r="I13" i="15"/>
  <c r="O6" i="29"/>
  <c r="M10" i="12"/>
  <c r="M47" i="12" s="1"/>
  <c r="M41" i="12"/>
  <c r="M44" i="12" s="1"/>
  <c r="J35" i="6" s="1"/>
  <c r="H79" i="23"/>
  <c r="Q78" i="23"/>
  <c r="O28" i="12"/>
  <c r="O52" i="12" s="1"/>
  <c r="N49" i="12" l="1"/>
  <c r="N19" i="12"/>
  <c r="O7" i="29"/>
  <c r="N8" i="12"/>
  <c r="N46" i="12" s="1"/>
  <c r="M11" i="12"/>
  <c r="H80" i="23"/>
  <c r="Q79" i="23"/>
  <c r="O29" i="12"/>
  <c r="N54" i="12"/>
  <c r="N20" i="12" l="1"/>
  <c r="N21" i="12" s="1"/>
  <c r="N42" i="12"/>
  <c r="O8" i="29"/>
  <c r="M36" i="12"/>
  <c r="M39" i="12" s="1"/>
  <c r="J28" i="6" s="1"/>
  <c r="J31" i="6" s="1"/>
  <c r="J9" i="16" s="1"/>
  <c r="M56" i="12"/>
  <c r="J10" i="16" s="1"/>
  <c r="M48" i="12"/>
  <c r="M57" i="12" s="1"/>
  <c r="P5" i="29"/>
  <c r="N55" i="12"/>
  <c r="J12" i="15" s="1"/>
  <c r="N9" i="12"/>
  <c r="Q80" i="23"/>
  <c r="H81" i="23"/>
  <c r="O43" i="12"/>
  <c r="O30" i="12"/>
  <c r="O53" i="12" s="1"/>
  <c r="N50" i="12" l="1"/>
  <c r="N51" i="12" s="1"/>
  <c r="O18" i="12"/>
  <c r="J13" i="15"/>
  <c r="P6" i="29"/>
  <c r="N41" i="12"/>
  <c r="N44" i="12" s="1"/>
  <c r="K35" i="6" s="1"/>
  <c r="N10" i="12"/>
  <c r="H82" i="23"/>
  <c r="Q81" i="23"/>
  <c r="O31" i="12"/>
  <c r="O54" i="12"/>
  <c r="O49" i="12" l="1"/>
  <c r="O19" i="12"/>
  <c r="N11" i="12"/>
  <c r="P8" i="29" s="1"/>
  <c r="N47" i="12"/>
  <c r="N36" i="12"/>
  <c r="N39" i="12" s="1"/>
  <c r="K28" i="6" s="1"/>
  <c r="K31" i="6" s="1"/>
  <c r="K9" i="16" s="1"/>
  <c r="P7" i="29"/>
  <c r="O8" i="12"/>
  <c r="O46" i="12" s="1"/>
  <c r="H83" i="23"/>
  <c r="Q82" i="23"/>
  <c r="O42" i="12" l="1"/>
  <c r="O20" i="12"/>
  <c r="O50" i="12" s="1"/>
  <c r="O51" i="12" s="1"/>
  <c r="N56" i="12"/>
  <c r="K10" i="16" s="1"/>
  <c r="N48" i="12"/>
  <c r="N57" i="12" s="1"/>
  <c r="Q5" i="29"/>
  <c r="O55" i="12"/>
  <c r="K12" i="15" s="1"/>
  <c r="O9" i="12"/>
  <c r="Q83" i="23"/>
  <c r="H84" i="23"/>
  <c r="O21" i="12" l="1"/>
  <c r="K13" i="15"/>
  <c r="Q6" i="29"/>
  <c r="O10" i="12"/>
  <c r="O41" i="12"/>
  <c r="O44" i="12" s="1"/>
  <c r="L35" i="6" s="1"/>
  <c r="H85" i="23"/>
  <c r="Q84" i="23"/>
  <c r="O11" i="12" l="1"/>
  <c r="Q8" i="29" s="1"/>
  <c r="O47" i="12"/>
  <c r="Q7" i="29"/>
  <c r="H86" i="23"/>
  <c r="Q85" i="23"/>
  <c r="O36" i="12" l="1"/>
  <c r="O39" i="12" s="1"/>
  <c r="L28" i="6" s="1"/>
  <c r="L31" i="6" s="1"/>
  <c r="L9" i="16" s="1"/>
  <c r="O56" i="12"/>
  <c r="L10" i="16" s="1"/>
  <c r="O48" i="12"/>
  <c r="O57" i="12" s="1"/>
  <c r="Q86" i="23"/>
  <c r="H87" i="23"/>
  <c r="H88" i="23" l="1"/>
  <c r="Q87" i="23"/>
  <c r="H89" i="23" l="1"/>
  <c r="Q88" i="23"/>
  <c r="Q89" i="23" l="1"/>
  <c r="H90" i="23"/>
  <c r="H91" i="23" l="1"/>
  <c r="Q90" i="23"/>
  <c r="D12" i="23"/>
  <c r="H92" i="23" l="1"/>
  <c r="Q91" i="23"/>
  <c r="Q92" i="23" l="1"/>
  <c r="H93" i="23"/>
  <c r="H94" i="23" l="1"/>
  <c r="Q93" i="23"/>
  <c r="H95" i="23" l="1"/>
  <c r="Q94" i="23"/>
  <c r="Q95" i="23" l="1"/>
  <c r="H96" i="23"/>
  <c r="H97" i="23" l="1"/>
  <c r="Q96" i="23"/>
  <c r="H98" i="23" l="1"/>
  <c r="Q97" i="23"/>
  <c r="Q98" i="23" l="1"/>
  <c r="H99" i="23"/>
  <c r="H100" i="23" l="1"/>
  <c r="Q99" i="23"/>
  <c r="H101" i="23" l="1"/>
  <c r="Q100" i="23"/>
  <c r="Q101" i="23" l="1"/>
  <c r="H102" i="23"/>
  <c r="H103" i="23" l="1"/>
  <c r="Q102" i="23"/>
  <c r="H104" i="23" l="1"/>
  <c r="Q103" i="23"/>
  <c r="Q104" i="23" l="1"/>
  <c r="H105" i="23"/>
  <c r="H106" i="23" l="1"/>
  <c r="Q105" i="23"/>
  <c r="H107" i="23" l="1"/>
  <c r="Q106" i="23"/>
  <c r="Q107" i="23" l="1"/>
  <c r="H108" i="23"/>
  <c r="H109" i="23" l="1"/>
  <c r="Q108" i="23"/>
  <c r="H110" i="23" l="1"/>
  <c r="Q109" i="23"/>
  <c r="Q110" i="23" l="1"/>
  <c r="H111" i="23"/>
  <c r="H112" i="23" l="1"/>
  <c r="Q111" i="23"/>
  <c r="H113" i="23" l="1"/>
  <c r="Q112" i="23"/>
  <c r="Q113" i="23" l="1"/>
  <c r="B123" i="23"/>
  <c r="B122" i="23"/>
  <c r="B121" i="23"/>
  <c r="D15" i="23"/>
  <c r="B12" i="26" l="1"/>
  <c r="B13" i="26" s="1"/>
  <c r="B12" i="9"/>
  <c r="K122" i="23"/>
  <c r="J122" i="23"/>
  <c r="K124" i="23"/>
  <c r="J124" i="23"/>
  <c r="K123" i="23"/>
  <c r="J123" i="23"/>
  <c r="B14" i="6" l="1"/>
  <c r="B186" i="7"/>
  <c r="B99" i="1" s="1"/>
  <c r="C8" i="6"/>
  <c r="B4" i="6"/>
  <c r="B9" i="6" s="1"/>
  <c r="B2" i="6"/>
  <c r="B3" i="6" s="1"/>
  <c r="B1" i="6"/>
  <c r="B82" i="1"/>
  <c r="C85" i="1"/>
  <c r="D85" i="1" s="1"/>
  <c r="B16" i="26" l="1"/>
  <c r="B18" i="26" s="1"/>
  <c r="B23" i="26" s="1"/>
  <c r="D8" i="6"/>
  <c r="E8" i="6" s="1"/>
  <c r="E10" i="6" s="1"/>
  <c r="C23" i="6"/>
  <c r="C10" i="6"/>
  <c r="C11" i="6" s="1"/>
  <c r="B5" i="6"/>
  <c r="C13" i="6"/>
  <c r="B100" i="1"/>
  <c r="B7" i="6"/>
  <c r="D10" i="6" l="1"/>
  <c r="D11" i="6" s="1"/>
  <c r="D20" i="6" s="1"/>
  <c r="C22" i="6"/>
  <c r="C20" i="6"/>
  <c r="C21" i="6"/>
  <c r="F8" i="6"/>
  <c r="F10" i="6" s="1"/>
  <c r="E11" i="6"/>
  <c r="E20" i="6" s="1"/>
  <c r="D13" i="6"/>
  <c r="D22" i="6" s="1"/>
  <c r="B101" i="1"/>
  <c r="B6" i="32" l="1"/>
  <c r="C25" i="6"/>
  <c r="B40" i="6" s="1"/>
  <c r="D21" i="6"/>
  <c r="D25" i="6" s="1"/>
  <c r="G8" i="6"/>
  <c r="G10" i="6" s="1"/>
  <c r="F11" i="6"/>
  <c r="F20" i="6" s="1"/>
  <c r="E13" i="6"/>
  <c r="B102" i="1"/>
  <c r="G10" i="32" l="1"/>
  <c r="G6" i="32"/>
  <c r="C32" i="6"/>
  <c r="G40" i="6" s="1"/>
  <c r="B42" i="6"/>
  <c r="B12" i="32"/>
  <c r="G12" i="32" s="1"/>
  <c r="C6" i="16"/>
  <c r="C7" i="16" s="1"/>
  <c r="E22" i="6"/>
  <c r="E21" i="6"/>
  <c r="H8" i="6"/>
  <c r="H10" i="6" s="1"/>
  <c r="G11" i="6"/>
  <c r="G20" i="6" s="1"/>
  <c r="D32" i="6"/>
  <c r="D34" i="6" s="1"/>
  <c r="D6" i="16"/>
  <c r="B103" i="1"/>
  <c r="F13" i="6"/>
  <c r="E25" i="6" l="1"/>
  <c r="E32" i="6" s="1"/>
  <c r="E34" i="6" s="1"/>
  <c r="F5" i="31" s="1"/>
  <c r="F7" i="31" s="1"/>
  <c r="F10" i="31" s="1"/>
  <c r="F13" i="31" s="1"/>
  <c r="C34" i="6"/>
  <c r="C36" i="6" s="1"/>
  <c r="C37" i="6" s="1"/>
  <c r="C11" i="16" s="1"/>
  <c r="C12" i="16" s="1"/>
  <c r="C13" i="16" s="1"/>
  <c r="C5" i="15" s="1"/>
  <c r="C7" i="15" s="1"/>
  <c r="C10" i="15" s="1"/>
  <c r="F22" i="6"/>
  <c r="F21" i="6"/>
  <c r="I8" i="6"/>
  <c r="I10" i="6" s="1"/>
  <c r="H11" i="6"/>
  <c r="H20" i="6" s="1"/>
  <c r="D36" i="6"/>
  <c r="D37" i="6" s="1"/>
  <c r="D38" i="6" s="1"/>
  <c r="D16" i="15" s="1"/>
  <c r="E5" i="31"/>
  <c r="E7" i="31" s="1"/>
  <c r="E10" i="31" s="1"/>
  <c r="E13" i="31" s="1"/>
  <c r="B104" i="1"/>
  <c r="G13" i="6"/>
  <c r="E6" i="16" l="1"/>
  <c r="D5" i="31"/>
  <c r="M18" i="31" s="1"/>
  <c r="F25" i="6"/>
  <c r="F32" i="6" s="1"/>
  <c r="F34" i="6" s="1"/>
  <c r="G5" i="31" s="1"/>
  <c r="G7" i="31" s="1"/>
  <c r="G10" i="31" s="1"/>
  <c r="G13" i="31" s="1"/>
  <c r="G22" i="6"/>
  <c r="G21" i="6"/>
  <c r="J8" i="6"/>
  <c r="J10" i="6" s="1"/>
  <c r="I11" i="6"/>
  <c r="I20" i="6" s="1"/>
  <c r="D11" i="16"/>
  <c r="D12" i="16" s="1"/>
  <c r="C38" i="6"/>
  <c r="G42" i="6" s="1"/>
  <c r="D5" i="16"/>
  <c r="D7" i="16" s="1"/>
  <c r="E36" i="6"/>
  <c r="E37" i="6" s="1"/>
  <c r="E11" i="16" s="1"/>
  <c r="E12" i="16" s="1"/>
  <c r="B105" i="1"/>
  <c r="H13" i="6"/>
  <c r="M15" i="31" l="1"/>
  <c r="M24" i="31"/>
  <c r="F6" i="16"/>
  <c r="D7" i="31"/>
  <c r="D10" i="31" s="1"/>
  <c r="D13" i="31" s="1"/>
  <c r="M21" i="31"/>
  <c r="G25" i="6"/>
  <c r="G32" i="6" s="1"/>
  <c r="G34" i="6" s="1"/>
  <c r="H5" i="31" s="1"/>
  <c r="H7" i="31" s="1"/>
  <c r="H10" i="31" s="1"/>
  <c r="H13" i="31" s="1"/>
  <c r="H22" i="6"/>
  <c r="H21" i="6"/>
  <c r="K8" i="6"/>
  <c r="K10" i="6" s="1"/>
  <c r="J11" i="6"/>
  <c r="J20" i="6" s="1"/>
  <c r="C16" i="15"/>
  <c r="D15" i="15" s="1"/>
  <c r="D13" i="16"/>
  <c r="D5" i="15" s="1"/>
  <c r="D7" i="15" s="1"/>
  <c r="D10" i="15" s="1"/>
  <c r="E38" i="6"/>
  <c r="E16" i="15" s="1"/>
  <c r="F36" i="6"/>
  <c r="F37" i="6" s="1"/>
  <c r="B106" i="1"/>
  <c r="I13" i="6"/>
  <c r="H25" i="6" l="1"/>
  <c r="G6" i="16"/>
  <c r="I22" i="6"/>
  <c r="I21" i="6"/>
  <c r="L8" i="6"/>
  <c r="L10" i="6" s="1"/>
  <c r="K11" i="6"/>
  <c r="K20" i="6" s="1"/>
  <c r="C17" i="15"/>
  <c r="C18" i="15" s="1"/>
  <c r="C19" i="15" s="1"/>
  <c r="E5" i="16"/>
  <c r="E7" i="16" s="1"/>
  <c r="E13" i="16" s="1"/>
  <c r="E5" i="15" s="1"/>
  <c r="E7" i="15" s="1"/>
  <c r="E10" i="15" s="1"/>
  <c r="E15" i="15"/>
  <c r="E17" i="15" s="1"/>
  <c r="E18" i="15" s="1"/>
  <c r="D17" i="15"/>
  <c r="D18" i="15" s="1"/>
  <c r="D19" i="15" s="1"/>
  <c r="F11" i="16"/>
  <c r="F12" i="16" s="1"/>
  <c r="F38" i="6"/>
  <c r="F16" i="15" s="1"/>
  <c r="G36" i="6"/>
  <c r="G37" i="6" s="1"/>
  <c r="G11" i="16" s="1"/>
  <c r="G12" i="16" s="1"/>
  <c r="H32" i="6"/>
  <c r="H34" i="6" s="1"/>
  <c r="I5" i="31" s="1"/>
  <c r="I7" i="31" s="1"/>
  <c r="I10" i="31" s="1"/>
  <c r="I13" i="31" s="1"/>
  <c r="H6" i="16"/>
  <c r="B107" i="1"/>
  <c r="J13" i="6"/>
  <c r="I25" i="6" l="1"/>
  <c r="I6" i="16" s="1"/>
  <c r="J22" i="6"/>
  <c r="J21" i="6"/>
  <c r="L11" i="6"/>
  <c r="L20" i="6" s="1"/>
  <c r="F5" i="16"/>
  <c r="F7" i="16" s="1"/>
  <c r="F13" i="16" s="1"/>
  <c r="F5" i="15" s="1"/>
  <c r="F7" i="15" s="1"/>
  <c r="F10" i="15" s="1"/>
  <c r="F15" i="15"/>
  <c r="G15" i="15" s="1"/>
  <c r="E19" i="15"/>
  <c r="G38" i="6"/>
  <c r="G16" i="15" s="1"/>
  <c r="H36" i="6"/>
  <c r="H37" i="6" s="1"/>
  <c r="H11" i="16" s="1"/>
  <c r="H12" i="16" s="1"/>
  <c r="I32" i="6"/>
  <c r="I34" i="6" s="1"/>
  <c r="J5" i="31" s="1"/>
  <c r="J7" i="31" s="1"/>
  <c r="J10" i="31" s="1"/>
  <c r="J13" i="31" s="1"/>
  <c r="B108" i="1"/>
  <c r="L13" i="6" s="1"/>
  <c r="K13" i="6"/>
  <c r="J25" i="6" l="1"/>
  <c r="J32" i="6" s="1"/>
  <c r="J34" i="6" s="1"/>
  <c r="K5" i="31" s="1"/>
  <c r="K7" i="31" s="1"/>
  <c r="K10" i="31" s="1"/>
  <c r="K13" i="31" s="1"/>
  <c r="K22" i="6"/>
  <c r="K21" i="6"/>
  <c r="L22" i="6"/>
  <c r="L21" i="6"/>
  <c r="F17" i="15"/>
  <c r="F18" i="15" s="1"/>
  <c r="F19" i="15" s="1"/>
  <c r="H15" i="15"/>
  <c r="G17" i="15"/>
  <c r="G18" i="15" s="1"/>
  <c r="G5" i="16"/>
  <c r="G7" i="16" s="1"/>
  <c r="G13" i="16" s="1"/>
  <c r="H5" i="16" s="1"/>
  <c r="H7" i="16" s="1"/>
  <c r="H13" i="16" s="1"/>
  <c r="I5" i="16" s="1"/>
  <c r="H38" i="6"/>
  <c r="H16" i="15" s="1"/>
  <c r="I36" i="6"/>
  <c r="I37" i="6" s="1"/>
  <c r="J6" i="16" l="1"/>
  <c r="K25" i="6"/>
  <c r="K6" i="16" s="1"/>
  <c r="L25" i="6"/>
  <c r="L32" i="6" s="1"/>
  <c r="L34" i="6" s="1"/>
  <c r="M5" i="31" s="1"/>
  <c r="I15" i="15"/>
  <c r="G5" i="15"/>
  <c r="G7" i="15" s="1"/>
  <c r="G10" i="15" s="1"/>
  <c r="G19" i="15" s="1"/>
  <c r="H17" i="15"/>
  <c r="H18" i="15" s="1"/>
  <c r="I11" i="16"/>
  <c r="I12" i="16" s="1"/>
  <c r="I38" i="6"/>
  <c r="I16" i="15" s="1"/>
  <c r="J36" i="6"/>
  <c r="I7" i="16"/>
  <c r="H5" i="15"/>
  <c r="H7" i="15" s="1"/>
  <c r="H10" i="15" s="1"/>
  <c r="K32" i="6" l="1"/>
  <c r="K34" i="6" s="1"/>
  <c r="L6" i="16"/>
  <c r="K36" i="6"/>
  <c r="K37" i="6" s="1"/>
  <c r="K11" i="16" s="1"/>
  <c r="K12" i="16" s="1"/>
  <c r="L5" i="31"/>
  <c r="L7" i="31" s="1"/>
  <c r="L10" i="31" s="1"/>
  <c r="L13" i="31" s="1"/>
  <c r="M7" i="31"/>
  <c r="M10" i="31" s="1"/>
  <c r="M13" i="31" s="1"/>
  <c r="B17" i="32" s="1"/>
  <c r="J15" i="15"/>
  <c r="I17" i="15"/>
  <c r="I18" i="15" s="1"/>
  <c r="H19" i="15"/>
  <c r="I13" i="16"/>
  <c r="J37" i="6"/>
  <c r="J11" i="16" s="1"/>
  <c r="J12" i="16" s="1"/>
  <c r="L36" i="6"/>
  <c r="L37" i="6" s="1"/>
  <c r="D15" i="31" l="1"/>
  <c r="D18" i="31"/>
  <c r="B16" i="32" s="1"/>
  <c r="I5" i="15"/>
  <c r="I7" i="15" s="1"/>
  <c r="I10" i="15" s="1"/>
  <c r="I19" i="15" s="1"/>
  <c r="J5" i="16"/>
  <c r="J7" i="16" s="1"/>
  <c r="J13" i="16" s="1"/>
  <c r="K38" i="6"/>
  <c r="K16" i="15" s="1"/>
  <c r="D16" i="32"/>
  <c r="J38" i="6"/>
  <c r="J16" i="15" s="1"/>
  <c r="L38" i="6"/>
  <c r="L16" i="15" s="1"/>
  <c r="L11" i="16"/>
  <c r="L12" i="16" s="1"/>
  <c r="J5" i="15" l="1"/>
  <c r="J7" i="15" s="1"/>
  <c r="J10" i="15" s="1"/>
  <c r="K5" i="16"/>
  <c r="K7" i="16" s="1"/>
  <c r="K13" i="16" s="1"/>
  <c r="K15" i="15"/>
  <c r="J17" i="15"/>
  <c r="J18" i="15" s="1"/>
  <c r="J19" i="15" l="1"/>
  <c r="K5" i="15"/>
  <c r="K7" i="15" s="1"/>
  <c r="K10" i="15" s="1"/>
  <c r="L5" i="16"/>
  <c r="L7" i="16" s="1"/>
  <c r="L13" i="16" s="1"/>
  <c r="L5" i="15" s="1"/>
  <c r="L7" i="15" s="1"/>
  <c r="L10" i="15" s="1"/>
  <c r="L15" i="15"/>
  <c r="L17" i="15" s="1"/>
  <c r="L18" i="15" s="1"/>
  <c r="K17" i="15"/>
  <c r="K18" i="15" s="1"/>
  <c r="K19" i="15" l="1"/>
  <c r="L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Martinez</author>
  </authors>
  <commentList>
    <comment ref="A15" authorId="0" shapeId="0" xr:uid="{48A1927E-8583-4E1F-9691-82A70DA95E0A}">
      <text>
        <r>
          <rPr>
            <b/>
            <sz val="8"/>
            <color indexed="81"/>
            <rFont val="Tahoma"/>
            <family val="2"/>
          </rPr>
          <t xml:space="preserve">Distrito: </t>
        </r>
        <r>
          <rPr>
            <sz val="8"/>
            <color indexed="81"/>
            <rFont val="Tahoma"/>
            <family val="2"/>
          </rPr>
          <t xml:space="preserve">Entidad territorial que tiene una característica que la destaca o diferencia, puede ser por su importancia política, comercial, histórica, turística, cultural, industrial, ambiental, portuaria, universitaria o fronteriza.​
</t>
        </r>
        <r>
          <rPr>
            <b/>
            <sz val="8"/>
            <color indexed="81"/>
            <rFont val="Tahoma"/>
            <family val="2"/>
          </rPr>
          <t>Vereda:</t>
        </r>
        <r>
          <rPr>
            <sz val="8"/>
            <color indexed="81"/>
            <rFont val="Tahoma"/>
            <family val="2"/>
          </rPr>
          <t xml:space="preserve"> División territorial de carácter administrativo en el área rural de los municipios, establecida mediante acuerdo municipal. Se concibe como una agrupación comunitaria de base territorial y principal espacio de sociabilidad, caracterizada por la proximidad de residencia de sus miembros, el sentido de pertenencia e identidad común y el predominio de las relaciones vecinales. Se conforma principalmente por la agrupación de predios delimitados por accidentes geográficos y vías principales. Para el caso de los productos cartográficos censales rurales, la vereda se identifica con un texto dentro de las respectivas áreas operativas y facilita la ubicación del grupo operativo en campo.​
</t>
        </r>
        <r>
          <rPr>
            <b/>
            <sz val="8"/>
            <color indexed="81"/>
            <rFont val="Tahoma"/>
            <family val="2"/>
          </rPr>
          <t>Corregimiento:</t>
        </r>
        <r>
          <rPr>
            <sz val="8"/>
            <color indexed="81"/>
            <rFont val="Tahoma"/>
            <family val="2"/>
          </rPr>
          <t xml:space="preserve"> Tipo de centro poblado, ubicado en el área rural de un municipio, el cual incluye un núcleo de población y está considerado en los Planes de Ordenamiento Territorial (POT). El DANE, con fines estadísticos, ha considerado como corregimiento” al centro poblado que corresponde exclusivamente al núcleo de población con una concentración de al menos 20 viviendas contiguas, adosadas o vecinas entre sí.
</t>
        </r>
        <r>
          <rPr>
            <b/>
            <sz val="8"/>
            <color indexed="81"/>
            <rFont val="Tahoma"/>
            <family val="2"/>
          </rPr>
          <t>FUENTE: DANE.</t>
        </r>
      </text>
    </comment>
    <comment ref="A17" authorId="0" shapeId="0" xr:uid="{9F99AF25-8E2B-40B8-B259-53C5B459DDD2}">
      <text>
        <r>
          <rPr>
            <b/>
            <sz val="8"/>
            <color indexed="81"/>
            <rFont val="Tahoma"/>
            <family val="2"/>
          </rPr>
          <t>Rural:</t>
        </r>
        <r>
          <rPr>
            <sz val="8"/>
            <color indexed="81"/>
            <rFont val="Tahoma"/>
            <family val="2"/>
          </rPr>
          <t xml:space="preserve"> Se caracteriza por la disposición dispersa de viviendas y explotaciones agropecuarias existentes en ella. No cuenta con un trazado o nomenclatura de calles, carreteras, avenidas, y demás. Tampoco dispone, por lo general, de servicios públicos y otro tipo de facilidades propias de las áreas urbanas.
</t>
        </r>
        <r>
          <rPr>
            <b/>
            <sz val="8"/>
            <color indexed="81"/>
            <rFont val="Tahoma"/>
            <family val="2"/>
          </rPr>
          <t xml:space="preserve">Urbano: </t>
        </r>
        <r>
          <rPr>
            <sz val="8"/>
            <color indexed="81"/>
            <rFont val="Tahoma"/>
            <family val="2"/>
          </rPr>
          <t xml:space="preserve">Se caracteriza por estar conformada por conjuntos de edificaciones y estructuras contiguas agrupadas en manzanas, las cuales están delimitadas por calles, carreras o avenidas, principalmente. Cuenta por lo general, con una dotación de servicios esenciales tales como acueducto, alcantarillado, energía eléctrica, hospitales y colegios, entre otros. En esta categoría están incluidas las ciudades capitales y las cabeceras municipales restantes.​
</t>
        </r>
        <r>
          <rPr>
            <b/>
            <sz val="8"/>
            <color indexed="81"/>
            <rFont val="Tahoma"/>
            <family val="2"/>
          </rPr>
          <t>FUENTE: DANE.</t>
        </r>
      </text>
    </comment>
    <comment ref="A19" authorId="0" shapeId="0" xr:uid="{A22DDB92-F914-4FCE-8CD5-CFA54AB21924}">
      <text>
        <r>
          <rPr>
            <b/>
            <sz val="8"/>
            <color indexed="81"/>
            <rFont val="Tahoma"/>
            <family val="2"/>
          </rPr>
          <t xml:space="preserve">SIN: </t>
        </r>
        <r>
          <rPr>
            <sz val="8"/>
            <color indexed="81"/>
            <rFont val="Tahoma"/>
            <family val="2"/>
          </rPr>
          <t xml:space="preserve">Sistema Interconectado Nacional. El SIN está conformado por todas las líneas de transmisión de energía y subestaciones que hay en el país, medios a través de los cuales se transporta la energía desde las centrales de generación hasta los pueblos y ciudades en donde es consumida.
</t>
        </r>
        <r>
          <rPr>
            <b/>
            <sz val="8"/>
            <color indexed="81"/>
            <rFont val="Tahoma"/>
            <family val="2"/>
          </rPr>
          <t xml:space="preserve">ZNI: </t>
        </r>
        <r>
          <rPr>
            <sz val="8"/>
            <color indexed="81"/>
            <rFont val="Tahoma"/>
            <family val="2"/>
          </rPr>
          <t xml:space="preserve">Zonas No Interconectadas. Las zonas no interconectadas son los municipios, corregimientos, localidades y caseríos no conectados al Sistema Interconectado Nacional.
</t>
        </r>
        <r>
          <rPr>
            <b/>
            <sz val="8"/>
            <color indexed="81"/>
            <rFont val="Tahoma"/>
            <family val="2"/>
          </rPr>
          <t>FUENTE: LEY 142 DE 1994.</t>
        </r>
        <r>
          <rPr>
            <sz val="8"/>
            <color indexed="81"/>
            <rFont val="Tahoma"/>
            <family val="2"/>
          </rPr>
          <t xml:space="preserve">
</t>
        </r>
        <r>
          <rPr>
            <b/>
            <sz val="8"/>
            <color indexed="81"/>
            <rFont val="Tahoma"/>
            <family val="2"/>
          </rPr>
          <t>ÁREAS ESPECIALES:</t>
        </r>
        <r>
          <rPr>
            <sz val="8"/>
            <color indexed="81"/>
            <rFont val="Tahoma"/>
            <family val="2"/>
          </rPr>
          <t xml:space="preserve"> </t>
        </r>
        <r>
          <rPr>
            <i/>
            <sz val="8"/>
            <color indexed="81"/>
            <rFont val="Tahoma"/>
            <family val="2"/>
          </rPr>
          <t xml:space="preserve">Áreas Rurales de Menor Desarrollo </t>
        </r>
        <r>
          <rPr>
            <sz val="8"/>
            <color indexed="81"/>
            <rFont val="Tahoma"/>
            <family val="2"/>
          </rPr>
          <t xml:space="preserve">(i) presenta un índice superior a cincuenta y cuatro punto cuatro (54.4), conforme con el indicador de las Necesidades Básicas Insatisfechas publicado por el Departamento Administrativo Nacional de Estadística y (ii) está conectada al circuito de alimentación por medio del cual se le suministra el servicio público de energía eléctrica. </t>
        </r>
        <r>
          <rPr>
            <i/>
            <sz val="8"/>
            <color indexed="81"/>
            <rFont val="Tahoma"/>
            <family val="2"/>
          </rPr>
          <t>Zonas de Difícil Gestión</t>
        </r>
        <r>
          <rPr>
            <sz val="8"/>
            <color indexed="81"/>
            <rFont val="Tahoma"/>
            <family val="2"/>
          </rPr>
          <t xml:space="preserve"> Conjunto de usuarios ubicados en una misma zona geográfica conectada al Sistema Interconectado Nacional, delimitada eléctricamente, que presenta durante el último año en forma continua, una de las siguientes características:
(i) Cartera vencida mayor a noventa días por parte del cincuenta por ciento (50%) o más de los usuarios de estratos 1 y 2 pertenecientes a la zona, o (ii) Niveles de pérdidas de energía superiores al cuarenta por ciento (40%) respecto a la energía de entrada al Sistema de Distribución Local que atiende exclusivamente a dicha zona y </t>
        </r>
        <r>
          <rPr>
            <i/>
            <sz val="8"/>
            <color indexed="81"/>
            <rFont val="Tahoma"/>
            <family val="2"/>
          </rPr>
          <t xml:space="preserve">Barrios Subnormales </t>
        </r>
        <r>
          <rPr>
            <sz val="8"/>
            <color indexed="81"/>
            <rFont val="Tahoma"/>
            <family val="2"/>
          </rPr>
          <t xml:space="preserve">Es el asentamiento humano ubicado en las cabeceras de municipios o distritos que reúne los siguientes requisitos: (i) que no tenga servicio público domiciliario de energía eléctrica o que éste se obtenga a través de derivaciones del Sistema de Distribución Local o de una Acometida, efectuadas sin aprobación del respectivo Operador de Red ; (ii) que no se trate de zonas donde se deba suspender el servicio público domiciliario de electricidad, de conformidad con el artículo 139.2 de la Ley 142 de 1994, las normas de la Ley 388 de 1997 y en general en aquellas zonas en las que esté prohibido prestar el servicio y, iii) Certificación del Alcalde Municipal o Distrital o de la autoridad competente en la cual conste la clasificación y existencia de los Barrios Subnormales, la cual deberá ser expedida dentro de los quince (15) días siguientes a la fecha de la respectiva solicitud efectuada por el Operador de Red.
</t>
        </r>
        <r>
          <rPr>
            <b/>
            <sz val="8"/>
            <color indexed="81"/>
            <rFont val="Tahoma"/>
            <family val="2"/>
          </rPr>
          <t>FUENTE: DECRETO CREG 111 DE 2012.</t>
        </r>
      </text>
    </comment>
    <comment ref="A21" authorId="0" shapeId="0" xr:uid="{C40DE44D-E522-408B-93D2-725B13855477}">
      <text>
        <r>
          <rPr>
            <b/>
            <sz val="8"/>
            <color indexed="81"/>
            <rFont val="Tahoma"/>
            <family val="2"/>
          </rPr>
          <t xml:space="preserve">Altitud: </t>
        </r>
        <r>
          <rPr>
            <sz val="8"/>
            <color indexed="81"/>
            <rFont val="Tahoma"/>
            <family val="2"/>
          </rPr>
          <t>Distancia vertical que existe entre cualquier punto de la Tierra en relación con el nivel del mar. Puede ser consultado en la Web.</t>
        </r>
      </text>
    </comment>
    <comment ref="A23" authorId="0" shapeId="0" xr:uid="{6D76C28F-9C87-43A9-924E-E5D2E70629E1}">
      <text>
        <r>
          <rPr>
            <b/>
            <sz val="8"/>
            <color indexed="81"/>
            <rFont val="Tahoma"/>
            <family val="2"/>
          </rPr>
          <t>ESTRATO 1</t>
        </r>
        <r>
          <rPr>
            <sz val="8"/>
            <color indexed="81"/>
            <rFont val="Tahoma"/>
            <family val="2"/>
          </rPr>
          <t xml:space="preserve">. Bajo-bajo
</t>
        </r>
        <r>
          <rPr>
            <b/>
            <sz val="8"/>
            <color indexed="81"/>
            <rFont val="Tahoma"/>
            <family val="2"/>
          </rPr>
          <t>ESTRATO 2.</t>
        </r>
        <r>
          <rPr>
            <sz val="8"/>
            <color indexed="81"/>
            <rFont val="Tahoma"/>
            <family val="2"/>
          </rPr>
          <t xml:space="preserve"> Bajo
</t>
        </r>
        <r>
          <rPr>
            <b/>
            <sz val="8"/>
            <color indexed="81"/>
            <rFont val="Tahoma"/>
            <family val="2"/>
          </rPr>
          <t>ESTRATO 3.</t>
        </r>
        <r>
          <rPr>
            <sz val="8"/>
            <color indexed="81"/>
            <rFont val="Tahoma"/>
            <family val="2"/>
          </rPr>
          <t xml:space="preserve"> Medio-bajo
</t>
        </r>
        <r>
          <rPr>
            <b/>
            <sz val="8"/>
            <color indexed="81"/>
            <rFont val="Tahoma"/>
            <family val="2"/>
          </rPr>
          <t>ESTRATO</t>
        </r>
        <r>
          <rPr>
            <sz val="8"/>
            <color indexed="81"/>
            <rFont val="Tahoma"/>
            <family val="2"/>
          </rPr>
          <t xml:space="preserve"> </t>
        </r>
        <r>
          <rPr>
            <b/>
            <sz val="8"/>
            <color indexed="81"/>
            <rFont val="Tahoma"/>
            <family val="2"/>
          </rPr>
          <t>4.</t>
        </r>
        <r>
          <rPr>
            <sz val="8"/>
            <color indexed="81"/>
            <rFont val="Tahoma"/>
            <family val="2"/>
          </rPr>
          <t xml:space="preserve"> Medio
</t>
        </r>
        <r>
          <rPr>
            <b/>
            <sz val="8"/>
            <color indexed="81"/>
            <rFont val="Tahoma"/>
            <family val="2"/>
          </rPr>
          <t>ESTRATO 5.</t>
        </r>
        <r>
          <rPr>
            <sz val="8"/>
            <color indexed="81"/>
            <rFont val="Tahoma"/>
            <family val="2"/>
          </rPr>
          <t xml:space="preserve"> Medio-alto
</t>
        </r>
        <r>
          <rPr>
            <b/>
            <sz val="8"/>
            <color indexed="81"/>
            <rFont val="Tahoma"/>
            <family val="2"/>
          </rPr>
          <t>ESTRATO 6.</t>
        </r>
        <r>
          <rPr>
            <sz val="8"/>
            <color indexed="81"/>
            <rFont val="Tahoma"/>
            <family val="2"/>
          </rPr>
          <t xml:space="preserve"> Alto</t>
        </r>
      </text>
    </comment>
    <comment ref="A25" authorId="0" shapeId="0" xr:uid="{C52F40AD-D64E-4D3F-AD7B-DF66E8F0526E}">
      <text>
        <r>
          <rPr>
            <sz val="8"/>
            <color indexed="81"/>
            <rFont val="Tahoma"/>
            <family val="2"/>
          </rPr>
          <t xml:space="preserve">El nivel de escolaridad de la comunidad será sugerido como el nivel promedio de escolaridad de sus miembros.​
</t>
        </r>
        <r>
          <rPr>
            <b/>
            <sz val="8"/>
            <color indexed="81"/>
            <rFont val="Tahoma"/>
            <family val="2"/>
          </rPr>
          <t>Ed. Básica​</t>
        </r>
        <r>
          <rPr>
            <sz val="8"/>
            <color indexed="81"/>
            <rFont val="Tahoma"/>
            <family val="2"/>
          </rPr>
          <t xml:space="preserve">
Primaria (cinco grados)​
Secundaria (cuatro grados)​
</t>
        </r>
        <r>
          <rPr>
            <b/>
            <sz val="8"/>
            <color indexed="81"/>
            <rFont val="Tahoma"/>
            <family val="2"/>
          </rPr>
          <t xml:space="preserve">Ed. Media​
</t>
        </r>
        <r>
          <rPr>
            <sz val="8"/>
            <color indexed="81"/>
            <rFont val="Tahoma"/>
            <family val="2"/>
          </rPr>
          <t xml:space="preserve">Dos grados, culminando con el título de bachiller​
</t>
        </r>
        <r>
          <rPr>
            <b/>
            <sz val="8"/>
            <color indexed="81"/>
            <rFont val="Tahoma"/>
            <family val="2"/>
          </rPr>
          <t xml:space="preserve">Ed. Superior​
</t>
        </r>
        <r>
          <rPr>
            <sz val="8"/>
            <color indexed="81"/>
            <rFont val="Tahoma"/>
            <family val="2"/>
          </rPr>
          <t xml:space="preserve">Universitaria (pregrado)​
Universitaria (postgrado)​
</t>
        </r>
        <r>
          <rPr>
            <b/>
            <sz val="8"/>
            <color indexed="81"/>
            <rFont val="Tahoma"/>
            <family val="2"/>
          </rPr>
          <t>FUENTE: DANE.</t>
        </r>
      </text>
    </comment>
    <comment ref="A39" authorId="0" shapeId="0" xr:uid="{A80BF80F-4B56-4691-95F0-BB470A3AE669}">
      <text>
        <r>
          <rPr>
            <b/>
            <sz val="8"/>
            <color indexed="81"/>
            <rFont val="Tahoma"/>
            <family val="2"/>
          </rPr>
          <t>Número de hogares que participan en la comunidad energética.
Usuario:</t>
        </r>
        <r>
          <rPr>
            <sz val="8"/>
            <color indexed="81"/>
            <rFont val="Tahoma"/>
            <family val="2"/>
          </rPr>
          <t xml:space="preserve"> persona natural o jurídica que se beneficia con la prestación de un servicio público, bien como propietario del inmueble en donde este se presta, o como receptor directo del servicio. A este último usuario se le denomina también consumidor, (Capítulo II – Definiciones Especiales. Ley 142 de 1994)​.
</t>
        </r>
        <r>
          <rPr>
            <b/>
            <sz val="8"/>
            <color indexed="81"/>
            <rFont val="Tahoma"/>
            <family val="2"/>
          </rPr>
          <t>FUENTE: LEY 142 DE 1994.</t>
        </r>
        <r>
          <rPr>
            <sz val="8"/>
            <color indexed="81"/>
            <rFont val="Tahoma"/>
            <family val="2"/>
          </rPr>
          <t xml:space="preserve">
</t>
        </r>
        <r>
          <rPr>
            <b/>
            <sz val="8"/>
            <color indexed="81"/>
            <rFont val="Tahoma"/>
            <family val="2"/>
          </rPr>
          <t xml:space="preserve">Autogenerador colectivo (AC): </t>
        </r>
        <r>
          <rPr>
            <sz val="8"/>
            <color indexed="81"/>
            <rFont val="Tahoma"/>
            <family val="2"/>
          </rPr>
          <t>Usuarios o potenciales usuarios de servicios energéticos que constituyen una comunidad energética para desarrollar la actividad de autogeneración colectiva. Decreto 2236 de 2023.</t>
        </r>
        <r>
          <rPr>
            <b/>
            <sz val="8"/>
            <color indexed="81"/>
            <rFont val="Tahoma"/>
            <family val="2"/>
          </rPr>
          <t xml:space="preserve">
FUENTE: DECRETO 2236 DE 2023.</t>
        </r>
      </text>
    </comment>
    <comment ref="A71" authorId="0" shapeId="0" xr:uid="{1D971E76-CA03-4B3D-B547-DEA7EEF4483B}">
      <text>
        <r>
          <rPr>
            <b/>
            <sz val="8"/>
            <color indexed="81"/>
            <rFont val="Tahoma"/>
            <family val="2"/>
          </rPr>
          <t>Comerciales:</t>
        </r>
        <r>
          <rPr>
            <sz val="8"/>
            <color indexed="81"/>
            <rFont val="Tahoma"/>
            <family val="2"/>
          </rPr>
          <t xml:space="preserve"> Sociedad Anónima, Sociedad Anónima Simplificada, Sociedad Limitada, Sociedad en comandita, Sociedad Colectiva.
</t>
        </r>
        <r>
          <rPr>
            <b/>
            <sz val="8"/>
            <color indexed="81"/>
            <rFont val="Tahoma"/>
            <family val="2"/>
          </rPr>
          <t>Civiles:</t>
        </r>
        <r>
          <rPr>
            <sz val="8"/>
            <color indexed="81"/>
            <rFont val="Tahoma"/>
            <family val="2"/>
          </rPr>
          <t xml:space="preserve"> Conocidas como ESAL: Asociaciones o Corporaciones, Fundaciones, Cooperativas (Entidades de Economía Solidaria).</t>
        </r>
      </text>
    </comment>
    <comment ref="A75" authorId="0" shapeId="0" xr:uid="{EDE5972B-956D-4689-BF0A-C9BC97F63A92}">
      <text>
        <r>
          <rPr>
            <sz val="8"/>
            <color indexed="81"/>
            <rFont val="Tahoma"/>
            <family val="2"/>
          </rPr>
          <t xml:space="preserve">Ingrese la sumatoria de los consumos promedio de los usuarios de la comunidad energética.
Si no los tiene, en la celda: </t>
        </r>
        <r>
          <rPr>
            <b/>
            <sz val="8"/>
            <color indexed="81"/>
            <rFont val="Tahoma"/>
            <family val="2"/>
          </rPr>
          <t>Consumo promedio usuario kWh/mes</t>
        </r>
        <r>
          <rPr>
            <sz val="8"/>
            <color indexed="81"/>
            <rFont val="Tahoma"/>
            <family val="2"/>
          </rPr>
          <t xml:space="preserve"> ponga un dato de consumo promedio por usuario.
El consumo promedio por usuario deberá ser como mínimo el </t>
        </r>
        <r>
          <rPr>
            <b/>
            <sz val="8"/>
            <color indexed="81"/>
            <rFont val="Tahoma"/>
            <family val="2"/>
          </rPr>
          <t>"Consumo Mínimo de Subsistencia"</t>
        </r>
        <r>
          <rPr>
            <sz val="8"/>
            <color indexed="81"/>
            <rFont val="Tahoma"/>
            <family val="2"/>
          </rPr>
          <t xml:space="preserve">. 
Para altitudes inferiores a 1.000 metros el consumo mínimo de subsistencia es de 173 kWh/mes, mientras para altitudes iguales o superiores a 1.000 metros el consumo mínimo de subsistencia es de 130 kWh/mes.
</t>
        </r>
        <r>
          <rPr>
            <b/>
            <sz val="8"/>
            <color indexed="81"/>
            <rFont val="Tahoma"/>
            <family val="2"/>
          </rPr>
          <t>FUENTE: RESOLUCIÓN 355 DE 2004.</t>
        </r>
      </text>
    </comment>
    <comment ref="A76" authorId="0" shapeId="0" xr:uid="{497F402F-CEE4-4344-A551-4B1382BFCF3F}">
      <text>
        <r>
          <rPr>
            <sz val="8"/>
            <color indexed="81"/>
            <rFont val="Tahoma"/>
            <family val="2"/>
          </rPr>
          <t>El consumo promedio por usuario de la comunidad será sugerido como el consumo promedio de uso de energía de sus miembros.​ Esto solo aplica para el tipo de agente AGRC.</t>
        </r>
      </text>
    </comment>
    <comment ref="A80" authorId="0" shapeId="0" xr:uid="{C2B0E782-1463-400D-A75C-C6AC9651BEA3}">
      <text>
        <r>
          <rPr>
            <sz val="8"/>
            <color indexed="81"/>
            <rFont val="Tahoma"/>
            <family val="2"/>
          </rPr>
          <t>En la fuente Híbrida, contempla la unión de varias fuentes, por ejemplo: SOLAR FOTOVOLTAICO + EÓLICO.</t>
        </r>
      </text>
    </comment>
    <comment ref="A82" authorId="0" shapeId="0" xr:uid="{C7959830-F8D6-4A1D-9EA5-45D873034EC8}">
      <text>
        <r>
          <rPr>
            <sz val="8"/>
            <color indexed="81"/>
            <rFont val="Tahoma"/>
            <family val="2"/>
          </rPr>
          <t>Pregunte a su diseñador sobre la capacidad de generación de energía al mes.
Para el sistema solar fotovoltaico se propone un valor a partir de la capacidad y del brillo promedio día.</t>
        </r>
      </text>
    </comment>
    <comment ref="A90" authorId="0" shapeId="0" xr:uid="{CAB2966A-5821-4580-815E-E856A635B16A}">
      <text>
        <r>
          <rPr>
            <b/>
            <sz val="8"/>
            <color indexed="81"/>
            <rFont val="Tahoma"/>
            <family val="2"/>
          </rPr>
          <t>AGRC SIN VENTAS:</t>
        </r>
        <r>
          <rPr>
            <sz val="8"/>
            <color indexed="81"/>
            <rFont val="Tahoma"/>
            <family val="2"/>
          </rPr>
          <t xml:space="preserve"> Aquella actividad realizada por la Comunidad Energética que produce energía  y/o hace uso eficiente de la energía, principalmente, para atender sus propias necesidades. 
</t>
        </r>
        <r>
          <rPr>
            <b/>
            <sz val="8"/>
            <color indexed="81"/>
            <rFont val="Tahoma"/>
            <family val="2"/>
          </rPr>
          <t xml:space="preserve">AGRC CON VENTAS: </t>
        </r>
        <r>
          <rPr>
            <sz val="8"/>
            <color indexed="81"/>
            <rFont val="Tahoma"/>
            <family val="2"/>
          </rPr>
          <t xml:space="preserve">Además de atender sus propias necesidades en el evento en que se generen excedentes de energía eléctrica a partir de tal actividad, estos podrán entregarse a la red.
</t>
        </r>
        <r>
          <rPr>
            <b/>
            <sz val="8"/>
            <color indexed="81"/>
            <rFont val="Tahoma"/>
            <family val="2"/>
          </rPr>
          <t>GDC:</t>
        </r>
        <r>
          <rPr>
            <sz val="8"/>
            <color indexed="81"/>
            <rFont val="Tahoma"/>
            <family val="2"/>
          </rPr>
          <t xml:space="preserve"> Es la producción de energía eléctrica realizada por la comunidad energética, cerca de los centros de consumo, conectada a un Sistema de Distribución Local (SDL) o a una Microrred.</t>
        </r>
        <r>
          <rPr>
            <b/>
            <sz val="8"/>
            <color indexed="81"/>
            <rFont val="Tahoma"/>
            <family val="2"/>
          </rPr>
          <t xml:space="preserve">
FUENTE: DECRETO 2236 DE 2023.</t>
        </r>
      </text>
    </comment>
    <comment ref="A92" authorId="0" shapeId="0" xr:uid="{447305A2-E390-4615-B35F-98949C564E2E}">
      <text>
        <r>
          <rPr>
            <sz val="8"/>
            <color indexed="81"/>
            <rFont val="Tahoma"/>
            <family val="2"/>
          </rPr>
          <t>La comunidad energética por ser una personería jurídica, genera unos ingresos por prestar un servicio que genere ahorro para la comunidad misma. Acá en este item usted dirá qué porcentaje de lo que ahorrará cada usuario, entrará como ingreso a la personería jurídica de la comunidad energética.</t>
        </r>
      </text>
    </comment>
    <comment ref="A94" authorId="0" shapeId="0" xr:uid="{F53DF8FD-2801-4892-89D9-1ECC2630F787}">
      <text>
        <r>
          <rPr>
            <sz val="8"/>
            <color indexed="81"/>
            <rFont val="Tahoma"/>
            <family val="2"/>
          </rPr>
          <t>Esto aplica para Autogenerador Colectivo</t>
        </r>
      </text>
    </comment>
    <comment ref="A98" authorId="0" shapeId="0" xr:uid="{54243873-0915-4AFC-8F68-17889B9171B3}">
      <text>
        <r>
          <rPr>
            <sz val="8"/>
            <color indexed="81"/>
            <rFont val="Tahoma"/>
            <family val="2"/>
          </rPr>
          <t>El precio de venta es cuando eres Generador Distribuido o Autogenerador Colectivo que vende excedentes. Inicialmente se propone el valor promedio histórico de los últimos 6 meses de bolsa. Sin embargo, usted puede poner el precio que negocie. Cada año en la recomendación crece con la proyección del IPC pero el usuario puede modificar cada año.</t>
        </r>
      </text>
    </comment>
    <comment ref="A138" authorId="0" shapeId="0" xr:uid="{5ADCF606-10C9-41A6-8163-DE75A5270DD3}">
      <text>
        <r>
          <rPr>
            <sz val="8"/>
            <color indexed="81"/>
            <rFont val="Tahoma"/>
            <family val="2"/>
          </rPr>
          <t>En la parte inferior puede construir la parte de los salarios con sus respectivos costos.</t>
        </r>
      </text>
    </comment>
    <comment ref="A144" authorId="0" shapeId="0" xr:uid="{4462A616-8485-4D8A-96FD-98F02B141410}">
      <text>
        <r>
          <rPr>
            <sz val="8"/>
            <color indexed="81"/>
            <rFont val="Tahoma"/>
            <family val="2"/>
          </rPr>
          <t>Todos son salarios ordinarios y no integrales en la proyección. Se toma el salario mínimo y el auxilio de 2024.</t>
        </r>
      </text>
    </comment>
    <comment ref="A193" authorId="0" shapeId="0" xr:uid="{E9A78737-AED9-4EAD-8C98-5A5E88C8805D}">
      <text>
        <r>
          <rPr>
            <sz val="8"/>
            <color indexed="81"/>
            <rFont val="Tahoma"/>
            <family val="2"/>
          </rPr>
          <t>1. Comercio al por menor - Tiendas/abarrotes​
2. Producción agropecuaria ( siembras, ganadería, porcicultura, etc.)​
3. Actividades artesanales​
4. Eventos​
5. Aportes por asociación​
6. Otros</t>
        </r>
      </text>
    </comment>
    <comment ref="A195" authorId="0" shapeId="0" xr:uid="{977695A6-FAAD-4D35-AF5B-B3A96DA2F2B5}">
      <text>
        <r>
          <rPr>
            <sz val="9"/>
            <color indexed="81"/>
            <rFont val="Tahoma"/>
            <family val="2"/>
          </rPr>
          <t>Otros costos y gastos que hacen referencia las otras actividades económicas. Estos son fijo, es decir, cada mes se debe pagar esa cantidad.</t>
        </r>
      </text>
    </comment>
    <comment ref="A197" authorId="0" shapeId="0" xr:uid="{21406CEF-0A4F-42A6-AE00-0A7DC49DC6DC}">
      <text>
        <r>
          <rPr>
            <sz val="9"/>
            <color indexed="81"/>
            <rFont val="Tahoma"/>
            <family val="2"/>
          </rPr>
          <t>Otros costos y gastos que hacen referencia las otras actividades económicas. Estos son variables, es decir, van en función de los ingresos.</t>
        </r>
      </text>
    </comment>
    <comment ref="A225" authorId="0" shapeId="0" xr:uid="{41AA21D1-4110-4AE3-AB99-245B620F5D47}">
      <text>
        <r>
          <rPr>
            <sz val="8"/>
            <color indexed="81"/>
            <rFont val="Tahoma"/>
            <family val="2"/>
          </rPr>
          <t>(Radiómetro, Piranómetro, Pirheliómetro, Heliografo)</t>
        </r>
      </text>
    </comment>
    <comment ref="A245" authorId="0" shapeId="0" xr:uid="{EDD6A90E-D3F1-47BB-92AA-56AB51D723A7}">
      <text>
        <r>
          <rPr>
            <sz val="8"/>
            <color indexed="81"/>
            <rFont val="Tahoma"/>
            <family val="2"/>
          </rPr>
          <t>(Medidores de velocidad y dirección de viento, temperatura, humedad relativa, presión, material particulado, requeridas para la caracterización del potencial y diseños de parques eólicos</t>
        </r>
      </text>
    </comment>
    <comment ref="A246" authorId="0" shapeId="0" xr:uid="{833FE416-BCE1-42EA-BAD2-AB70FB16B05B}">
      <text>
        <r>
          <rPr>
            <sz val="8"/>
            <color indexed="81"/>
            <rFont val="Tahoma"/>
            <family val="2"/>
          </rPr>
          <t>Alimentación para la estación de medición de manera autónoma: paneles solares, reguladores DC, baterías.</t>
        </r>
      </text>
    </comment>
    <comment ref="A275" authorId="0" shapeId="0" xr:uid="{34C988BB-C724-4D0C-88CE-C4C4A7389301}">
      <text>
        <r>
          <rPr>
            <sz val="8"/>
            <color indexed="81"/>
            <rFont val="Tahoma"/>
            <family val="2"/>
          </rPr>
          <t>Para exploración geotérmica y pruebas de producción de pozos</t>
        </r>
      </text>
    </comment>
    <comment ref="A276" authorId="0" shapeId="0" xr:uid="{BFA8C997-791F-488C-951F-D2BADD6B3A0C}">
      <text>
        <r>
          <rPr>
            <sz val="8"/>
            <color indexed="81"/>
            <rFont val="Tahoma"/>
            <family val="2"/>
          </rPr>
          <t>Para elaboración de cartografía</t>
        </r>
      </text>
    </comment>
    <comment ref="A281" authorId="0" shapeId="0" xr:uid="{90C55244-9526-4DB5-9C95-8B32161DA93E}">
      <text>
        <r>
          <rPr>
            <sz val="8"/>
            <color indexed="81"/>
            <rFont val="Tahoma"/>
            <family val="2"/>
          </rPr>
          <t>Recolección de muestras de roca y ensayos de laboratorio</t>
        </r>
      </text>
    </comment>
    <comment ref="A282" authorId="0" shapeId="0" xr:uid="{30B8AFD8-A792-41E4-8719-09DC4F1D8D8F}">
      <text>
        <r>
          <rPr>
            <sz val="8"/>
            <color indexed="81"/>
            <rFont val="Tahoma"/>
            <family val="2"/>
          </rPr>
          <t>Recolección de muestras de líquidos y gases y ensayos de laboratorio para análisis de composición química; análisis de isótopos.</t>
        </r>
      </text>
    </comment>
    <comment ref="A283" authorId="0" shapeId="0" xr:uid="{94F844B5-278B-43C2-8FDE-59E56A3CD4E5}">
      <text>
        <r>
          <rPr>
            <sz val="8"/>
            <color indexed="81"/>
            <rFont val="Tahoma"/>
            <family val="2"/>
          </rPr>
          <t>Muestreo; procesamiento y análisis de gravimetría; magnetometría; magnetotelúrica y microsismos)</t>
        </r>
      </text>
    </comment>
    <comment ref="A296" authorId="0" shapeId="0" xr:uid="{34589855-97BB-4CD4-A823-A60530A986BB}">
      <text>
        <r>
          <rPr>
            <sz val="8"/>
            <color indexed="81"/>
            <rFont val="Tahoma"/>
            <family val="2"/>
          </rPr>
          <t>Off Grid, Grid Tie o Híbrido</t>
        </r>
      </text>
    </comment>
    <comment ref="A298" authorId="0" shapeId="0" xr:uid="{E3DC2F11-9A32-4097-9F23-204B57E780FE}">
      <text>
        <r>
          <rPr>
            <sz val="8"/>
            <color indexed="81"/>
            <rFont val="Tahoma"/>
            <family val="2"/>
          </rPr>
          <t>Puede ser de plomo-ácido, iones de litio, níquel cadmio, u otro.</t>
        </r>
      </text>
    </comment>
    <comment ref="A300" authorId="0" shapeId="0" xr:uid="{A2A79349-F918-437C-B077-768FBD6E050E}">
      <text>
        <r>
          <rPr>
            <sz val="8"/>
            <color indexed="81"/>
            <rFont val="Tahoma"/>
            <family val="2"/>
          </rPr>
          <t>Estructuras diseñadas para montar, anclar e instalar paneles</t>
        </r>
      </text>
    </comment>
    <comment ref="A315" authorId="0" shapeId="0" xr:uid="{8459AA76-669D-4390-B07A-F97CE758F703}">
      <text>
        <r>
          <rPr>
            <sz val="8"/>
            <color indexed="81"/>
            <rFont val="Tahoma"/>
            <family val="2"/>
          </rPr>
          <t>Reactores de derivación y reactores de puesta a tierra</t>
        </r>
      </text>
    </comment>
    <comment ref="A326" authorId="0" shapeId="0" xr:uid="{CB627475-1776-4EF6-AC66-23C80A15DF07}">
      <text>
        <r>
          <rPr>
            <sz val="8"/>
            <color indexed="81"/>
            <rFont val="Tahoma"/>
            <family val="2"/>
          </rPr>
          <t>Equipos para producción de biometano</t>
        </r>
      </text>
    </comment>
    <comment ref="A360" authorId="0" shapeId="0" xr:uid="{E1EB50BB-A047-4F1E-BDA5-B3F6EF8CF0A9}">
      <text>
        <r>
          <rPr>
            <sz val="8"/>
            <color indexed="81"/>
            <rFont val="Tahoma"/>
            <family val="2"/>
          </rPr>
          <t>Materiales especiales y protección contra la corrosión debido a la naturaleza del vapor - especialmente en rotor, aspas y tobera</t>
        </r>
      </text>
    </comment>
    <comment ref="A365" authorId="0" shapeId="0" xr:uid="{44261D26-B551-4936-904C-56D337F099D9}">
      <text>
        <r>
          <rPr>
            <sz val="8"/>
            <color indexed="81"/>
            <rFont val="Tahoma"/>
            <family val="2"/>
          </rPr>
          <t>Torres de enfriamiento: tipo húmedo, tipo seco</t>
        </r>
      </text>
    </comment>
    <comment ref="A367" authorId="0" shapeId="0" xr:uid="{077288C9-E536-4F35-8154-33584D8BED8E}">
      <text>
        <r>
          <rPr>
            <sz val="8"/>
            <color indexed="81"/>
            <rFont val="Tahoma"/>
            <family val="2"/>
          </rPr>
          <t>De producción y de re-inyección</t>
        </r>
      </text>
    </comment>
    <comment ref="A372" authorId="0" shapeId="0" xr:uid="{4C5CE28B-3A4D-4730-A850-5440E59B59D4}">
      <text>
        <r>
          <rPr>
            <sz val="8"/>
            <color indexed="81"/>
            <rFont val="Tahoma"/>
            <family val="2"/>
          </rPr>
          <t>Transporte de fluidos: salmuera y condensado.</t>
        </r>
      </text>
    </comment>
    <comment ref="A382" authorId="0" shapeId="0" xr:uid="{F5D4FA76-9A45-4F70-A6C9-A81B09E879E8}">
      <text>
        <r>
          <rPr>
            <sz val="8"/>
            <color indexed="81"/>
            <rFont val="Tahoma"/>
            <family val="2"/>
          </rPr>
          <t xml:space="preserve">En este campo va toda la financiación con entidades de crédito o particulares que implique el pago de un interés. Acá también se debe ingresar si tiene aportes del fondo </t>
        </r>
        <r>
          <rPr>
            <b/>
            <sz val="8"/>
            <color indexed="81"/>
            <rFont val="Tahoma"/>
            <family val="2"/>
          </rPr>
          <t>FENOGE</t>
        </r>
        <r>
          <rPr>
            <sz val="8"/>
            <color indexed="81"/>
            <rFont val="Tahoma"/>
            <family val="2"/>
          </rPr>
          <t xml:space="preserve"> con reembolso a la entidad.</t>
        </r>
      </text>
    </comment>
    <comment ref="A384" authorId="0" shapeId="0" xr:uid="{E2979FB1-0EB8-464F-B813-0B969A0B33A9}">
      <text>
        <r>
          <rPr>
            <sz val="8"/>
            <color indexed="81"/>
            <rFont val="Tahoma"/>
            <family val="2"/>
          </rPr>
          <t>Revisar los Fondos a los cuales puede aplicar: FAER, FOES, FAZNI, FENOGE; SNR.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Diego Martinez</author>
  </authors>
  <commentList>
    <comment ref="H156" authorId="0" shapeId="0" xr:uid="{582359B7-0EFA-49F5-97C8-55804913054C}">
      <text>
        <r>
          <rPr>
            <b/>
            <sz val="9"/>
            <color indexed="81"/>
            <rFont val="Tahoma"/>
            <family val="2"/>
          </rPr>
          <t>Diego Martinez:</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Diego Martinez</author>
  </authors>
  <commentList>
    <comment ref="B7" authorId="0" shapeId="0" xr:uid="{0626B689-085F-4854-8B1B-4DABB5AA25DE}">
      <text>
        <r>
          <rPr>
            <b/>
            <sz val="8"/>
            <color indexed="81"/>
            <rFont val="Tahoma"/>
            <family val="2"/>
          </rPr>
          <t xml:space="preserve">(UODI): </t>
        </r>
        <r>
          <rPr>
            <sz val="8"/>
            <color indexed="81"/>
            <rFont val="Tahoma"/>
            <family val="2"/>
          </rPr>
          <t>Utilidad Operativa Después de Impuestos.</t>
        </r>
      </text>
    </comment>
    <comment ref="B11" authorId="0" shapeId="0" xr:uid="{55A7A18F-629A-4353-AB81-D1A8BF02E8B3}">
      <text>
        <r>
          <rPr>
            <b/>
            <sz val="8"/>
            <color indexed="81"/>
            <rFont val="Tahoma"/>
            <family val="2"/>
          </rPr>
          <t xml:space="preserve">KT: </t>
        </r>
        <r>
          <rPr>
            <sz val="8"/>
            <color indexed="81"/>
            <rFont val="Tahoma"/>
            <family val="2"/>
          </rPr>
          <t>Capital de Trabajo Neto Operativo.</t>
        </r>
      </text>
    </comment>
    <comment ref="B12" authorId="0" shapeId="0" xr:uid="{AC139D2B-67EB-49D5-ADB1-36E917838AA4}">
      <text>
        <r>
          <rPr>
            <b/>
            <sz val="8"/>
            <color indexed="81"/>
            <rFont val="Tahoma"/>
            <family val="2"/>
          </rPr>
          <t xml:space="preserve">AF: </t>
        </r>
        <r>
          <rPr>
            <sz val="8"/>
            <color indexed="81"/>
            <rFont val="Tahoma"/>
            <family val="2"/>
          </rPr>
          <t>Activos Fijos.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Aswath Damodaran</author>
  </authors>
  <commentList>
    <comment ref="C9" authorId="0" shapeId="0" xr:uid="{418E284F-30EB-4B73-800A-BBA2B5813B0D}">
      <text>
        <r>
          <rPr>
            <b/>
            <sz val="9"/>
            <color indexed="8"/>
            <rFont val="Geneva"/>
            <family val="2"/>
            <charset val="1"/>
          </rPr>
          <t>Aswath Damodaran:</t>
        </r>
        <r>
          <rPr>
            <sz val="9"/>
            <color indexed="8"/>
            <rFont val="Geneva"/>
            <family val="2"/>
            <charset val="1"/>
          </rPr>
          <t xml:space="preserve">
</t>
        </r>
        <r>
          <rPr>
            <sz val="9"/>
            <color indexed="8"/>
            <rFont val="Geneva"/>
            <family val="2"/>
            <charset val="1"/>
          </rPr>
          <t xml:space="preserve">ST: Short term (Treasury bill)
</t>
        </r>
        <r>
          <rPr>
            <sz val="9"/>
            <color indexed="8"/>
            <rFont val="Geneva"/>
            <family val="2"/>
            <charset val="1"/>
          </rPr>
          <t>LT: Long term (Treasury bond)</t>
        </r>
      </text>
    </comment>
    <comment ref="C10" authorId="0" shapeId="0" xr:uid="{1A82E4E2-4CFA-40A2-B482-987AA43073E3}">
      <text>
        <r>
          <rPr>
            <b/>
            <sz val="9"/>
            <color indexed="8"/>
            <rFont val="Geneva"/>
            <family val="2"/>
            <charset val="1"/>
          </rPr>
          <t>Aswath Damodaran:</t>
        </r>
        <r>
          <rPr>
            <sz val="9"/>
            <color indexed="8"/>
            <rFont val="Geneva"/>
            <family val="2"/>
            <charset val="1"/>
          </rPr>
          <t xml:space="preserve">
</t>
        </r>
        <r>
          <rPr>
            <sz val="9"/>
            <color indexed="8"/>
            <rFont val="Geneva"/>
            <family val="2"/>
            <charset val="1"/>
          </rPr>
          <t>The risk premium will be computed from this year to the current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Aswath Damodaran</author>
  </authors>
  <commentList>
    <comment ref="C9" authorId="0" shapeId="0" xr:uid="{A9EE00CB-D023-4E00-9043-3A0C916FBE14}">
      <text>
        <r>
          <rPr>
            <b/>
            <sz val="9"/>
            <color indexed="8"/>
            <rFont val="Geneva"/>
            <family val="2"/>
            <charset val="1"/>
          </rPr>
          <t>Aswath Damodaran:</t>
        </r>
        <r>
          <rPr>
            <sz val="9"/>
            <color indexed="8"/>
            <rFont val="Geneva"/>
            <family val="2"/>
            <charset val="1"/>
          </rPr>
          <t xml:space="preserve">
</t>
        </r>
        <r>
          <rPr>
            <sz val="9"/>
            <color indexed="8"/>
            <rFont val="Geneva"/>
            <family val="2"/>
            <charset val="1"/>
          </rPr>
          <t xml:space="preserve">ST: Short term (Treasury bill)
</t>
        </r>
        <r>
          <rPr>
            <sz val="9"/>
            <color indexed="8"/>
            <rFont val="Geneva"/>
            <family val="2"/>
            <charset val="1"/>
          </rPr>
          <t>LT: Long term (Treasury bond)</t>
        </r>
      </text>
    </comment>
    <comment ref="C10" authorId="0" shapeId="0" xr:uid="{524C28C4-6FC3-4392-8738-4A0CB8D78A21}">
      <text>
        <r>
          <rPr>
            <b/>
            <sz val="9"/>
            <color indexed="8"/>
            <rFont val="Geneva"/>
            <family val="2"/>
            <charset val="1"/>
          </rPr>
          <t>Aswath Damodaran:</t>
        </r>
        <r>
          <rPr>
            <sz val="9"/>
            <color indexed="8"/>
            <rFont val="Geneva"/>
            <family val="2"/>
            <charset val="1"/>
          </rPr>
          <t xml:space="preserve">
</t>
        </r>
        <r>
          <rPr>
            <sz val="9"/>
            <color indexed="8"/>
            <rFont val="Geneva"/>
            <family val="2"/>
            <charset val="1"/>
          </rPr>
          <t>The risk premium will be computed from this year to the current year.</t>
        </r>
      </text>
    </comment>
  </commentList>
</comments>
</file>

<file path=xl/sharedStrings.xml><?xml version="1.0" encoding="utf-8"?>
<sst xmlns="http://schemas.openxmlformats.org/spreadsheetml/2006/main" count="7711" uniqueCount="4058">
  <si>
    <t>MUNICIPIO</t>
  </si>
  <si>
    <t>CABECERA MUNICIPAL</t>
  </si>
  <si>
    <t>CENTROS POBLADOS Y RURAL</t>
  </si>
  <si>
    <t>DEPARTAMENTO</t>
  </si>
  <si>
    <t>AMAZONAS</t>
  </si>
  <si>
    <t>ANTIOQUIA</t>
  </si>
  <si>
    <t>ARAUCA</t>
  </si>
  <si>
    <t>SANANDRÉS</t>
  </si>
  <si>
    <t>ATLÁNTICO</t>
  </si>
  <si>
    <t>BOGOTÁ</t>
  </si>
  <si>
    <t>BOLÍVAR</t>
  </si>
  <si>
    <t>BOYACÁ</t>
  </si>
  <si>
    <t>CALDAS</t>
  </si>
  <si>
    <t>CAQUETÁ</t>
  </si>
  <si>
    <t>CASANARE</t>
  </si>
  <si>
    <t>CAUCA</t>
  </si>
  <si>
    <t>CESAR</t>
  </si>
  <si>
    <t>CHOCÓ</t>
  </si>
  <si>
    <t>CÓRDOBA</t>
  </si>
  <si>
    <t>CUNDINAMARCA</t>
  </si>
  <si>
    <t>GUAINÍA</t>
  </si>
  <si>
    <t>GUAVIARE</t>
  </si>
  <si>
    <t>HUILA</t>
  </si>
  <si>
    <t>GUAJIRA</t>
  </si>
  <si>
    <t>MAGDALENA</t>
  </si>
  <si>
    <t>META</t>
  </si>
  <si>
    <t>NARIÑO</t>
  </si>
  <si>
    <t>N.SANTANDER</t>
  </si>
  <si>
    <t>PUTUMAYO</t>
  </si>
  <si>
    <t>QUINDÍO</t>
  </si>
  <si>
    <t>RISARALDA</t>
  </si>
  <si>
    <t>SANTANDER</t>
  </si>
  <si>
    <t>SUCRE</t>
  </si>
  <si>
    <t>TOLIMA</t>
  </si>
  <si>
    <t>VALLE</t>
  </si>
  <si>
    <t>VAUPÉS</t>
  </si>
  <si>
    <t>VICHADA</t>
  </si>
  <si>
    <t xml:space="preserve">Código </t>
  </si>
  <si>
    <t>Nombre</t>
  </si>
  <si>
    <t>RELACIÓN</t>
  </si>
  <si>
    <t>CÓDIGO</t>
  </si>
  <si>
    <t>% COBERTURA  SP MUNICIPIO</t>
  </si>
  <si>
    <t>% COBERTURA  CM MUNICIPIO</t>
  </si>
  <si>
    <t>% COBERTURA  CPR DISPERSO</t>
  </si>
  <si>
    <t>EL ENCANTO</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</si>
  <si>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</si>
  <si>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</si>
  <si>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</si>
  <si>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</si>
  <si>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</si>
  <si>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</si>
  <si>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</si>
  <si>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</si>
  <si>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</si>
  <si>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</si>
  <si>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</si>
  <si>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</si>
  <si>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</si>
  <si>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</si>
  <si>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</si>
  <si>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</si>
  <si>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</si>
  <si>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</si>
  <si>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</si>
  <si>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</si>
  <si>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</si>
  <si>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</si>
  <si>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</si>
  <si>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</si>
  <si>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</si>
  <si>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</si>
  <si>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</si>
  <si>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</si>
  <si>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</si>
  <si>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</si>
  <si>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MEDELLÍN</t>
  </si>
  <si>
    <t>ANTIOQUIAMEDELLÍN</t>
  </si>
  <si>
    <t>LA CHORRERA</t>
  </si>
  <si>
    <t>ABRIAQUÍ</t>
  </si>
  <si>
    <t>ARAUQUITA</t>
  </si>
  <si>
    <t>SAN ANDRÉS</t>
  </si>
  <si>
    <t>BARRANQUILLA</t>
  </si>
  <si>
    <t>ALTOS DEL ROSARIO</t>
  </si>
  <si>
    <t>AQUITANIA</t>
  </si>
  <si>
    <t>ANSERMA</t>
  </si>
  <si>
    <t>BELÉN DE LOS ANDAQUÍES</t>
  </si>
  <si>
    <t>CHÁMEZA</t>
  </si>
  <si>
    <t>ARGELIA</t>
  </si>
  <si>
    <t>AGUSTÍN CODAZZI</t>
  </si>
  <si>
    <t>ALTO BAUDÓ</t>
  </si>
  <si>
    <t>CACAHUAL</t>
  </si>
  <si>
    <t>EL RETORNO</t>
  </si>
  <si>
    <t>AGRADO</t>
  </si>
  <si>
    <t>BARRANCAS</t>
  </si>
  <si>
    <t>ARACATACA</t>
  </si>
  <si>
    <t>BARRANCA DE UPÍA</t>
  </si>
  <si>
    <t>ALDANA</t>
  </si>
  <si>
    <t>ARBOLEDAS</t>
  </si>
  <si>
    <t>MOCOA</t>
  </si>
  <si>
    <t>BALBOA</t>
  </si>
  <si>
    <t>CAIMITO</t>
  </si>
  <si>
    <t>ALVARADO</t>
  </si>
  <si>
    <t>ANDALUCÍA</t>
  </si>
  <si>
    <t>MITÚ</t>
  </si>
  <si>
    <t>LA PRIMAVERA</t>
  </si>
  <si>
    <t>ANTIOQUIAABEJORRAL</t>
  </si>
  <si>
    <t>LA PEDRERA</t>
  </si>
  <si>
    <t>ALEJANDRÍA</t>
  </si>
  <si>
    <t>CRAVO NORTE</t>
  </si>
  <si>
    <t>CAMPO DE LA CRUZ</t>
  </si>
  <si>
    <t>ARENAL</t>
  </si>
  <si>
    <t>ARCABUCO</t>
  </si>
  <si>
    <t>ARANZAZU</t>
  </si>
  <si>
    <t>CARTAGENA DEL CHAIRÁ</t>
  </si>
  <si>
    <t>HATO COROZAL</t>
  </si>
  <si>
    <t>ASTREA</t>
  </si>
  <si>
    <t>ATRATO</t>
  </si>
  <si>
    <t>CANALETE</t>
  </si>
  <si>
    <t>ANAPOIMA</t>
  </si>
  <si>
    <t>INÍRIDA</t>
  </si>
  <si>
    <t>MIRAFLORES</t>
  </si>
  <si>
    <t>AIPE</t>
  </si>
  <si>
    <t>DIBULLA</t>
  </si>
  <si>
    <t>ARIGUANÍ</t>
  </si>
  <si>
    <t>CABUYARO</t>
  </si>
  <si>
    <t>ANCUYA</t>
  </si>
  <si>
    <t>BOCHALEMA</t>
  </si>
  <si>
    <t>ORITO</t>
  </si>
  <si>
    <t>CALARCÁ</t>
  </si>
  <si>
    <t>BELÉN DE UMBRÍA</t>
  </si>
  <si>
    <t>ARATOCA</t>
  </si>
  <si>
    <t>CHALÁN</t>
  </si>
  <si>
    <t>AMBALEMA</t>
  </si>
  <si>
    <t>ANSERMANUEVO</t>
  </si>
  <si>
    <t>PACOA</t>
  </si>
  <si>
    <t>PUERTO CARREÑO</t>
  </si>
  <si>
    <t>ANTIOQUIAABRIAQUÍ</t>
  </si>
  <si>
    <t>LA VICTORIA</t>
  </si>
  <si>
    <t>AMAGÁ</t>
  </si>
  <si>
    <t>FORTUL</t>
  </si>
  <si>
    <t>CANDELARIA</t>
  </si>
  <si>
    <t>ARJONA</t>
  </si>
  <si>
    <t>BELÉN</t>
  </si>
  <si>
    <t>BELALCÁZAR</t>
  </si>
  <si>
    <t>CURILLO</t>
  </si>
  <si>
    <t>LA SALINA</t>
  </si>
  <si>
    <t>BECERRIL</t>
  </si>
  <si>
    <t>BAGADÓ</t>
  </si>
  <si>
    <t>CERETÉ</t>
  </si>
  <si>
    <t>ANOLAIMA</t>
  </si>
  <si>
    <t>LA GUADALUPE</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</si>
  <si>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</si>
  <si>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</si>
  <si>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</si>
  <si>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</si>
  <si>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</si>
  <si>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</si>
  <si>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</si>
  <si>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</si>
  <si>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</si>
  <si>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</si>
  <si>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</si>
  <si>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</si>
  <si>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</si>
  <si>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PAPUNAHUA</t>
  </si>
  <si>
    <t>SANTA ROSALÍA</t>
  </si>
  <si>
    <t>ANTIOQUIAALEJANDRÍA</t>
  </si>
  <si>
    <t>LETICIA</t>
  </si>
  <si>
    <t>AMALFI</t>
  </si>
  <si>
    <t>PUERTO RONDÓN</t>
  </si>
  <si>
    <t>GALAPA</t>
  </si>
  <si>
    <t>ARROYOHONDO</t>
  </si>
  <si>
    <t>BERBEO</t>
  </si>
  <si>
    <t>CHINCHINÁ</t>
  </si>
  <si>
    <t>EL DONCELLO</t>
  </si>
  <si>
    <t>MANÍ</t>
  </si>
  <si>
    <t>BUENOS AIRES</t>
  </si>
  <si>
    <t>BOSCONIA</t>
  </si>
  <si>
    <t>BAHÍA SOLANO</t>
  </si>
  <si>
    <t>CHIMÁ</t>
  </si>
  <si>
    <t>APULO</t>
  </si>
  <si>
    <t>MORICHAL</t>
  </si>
  <si>
    <t>ALTAMIRA</t>
  </si>
  <si>
    <t>EL MOLINO</t>
  </si>
  <si>
    <t>CHIVOLO</t>
  </si>
  <si>
    <t>CUBARRAL</t>
  </si>
  <si>
    <t>BARBACOAS</t>
  </si>
  <si>
    <t>CÁCHIRA</t>
  </si>
  <si>
    <t>PUERTO CAICEDO</t>
  </si>
  <si>
    <t>GUÁTICA</t>
  </si>
  <si>
    <t>BARICHARA</t>
  </si>
  <si>
    <t>COROZAL</t>
  </si>
  <si>
    <t>ARMERO</t>
  </si>
  <si>
    <t>TARAIRA</t>
  </si>
  <si>
    <t>ANTIOQUIAAMAGÁ</t>
  </si>
  <si>
    <t>MIRITÍ - PARANÁ</t>
  </si>
  <si>
    <t>ANDES</t>
  </si>
  <si>
    <t>SARAVENA</t>
  </si>
  <si>
    <t>JUAN DE ACOSTA</t>
  </si>
  <si>
    <t>BARRANCO DE LOBA</t>
  </si>
  <si>
    <t>BETÉITIVA</t>
  </si>
  <si>
    <t>FILADELFIA</t>
  </si>
  <si>
    <t>EL PAUJÍL</t>
  </si>
  <si>
    <t>MONTERREY</t>
  </si>
  <si>
    <t>CAJIBÍO</t>
  </si>
  <si>
    <t>CHIMICHAGUA</t>
  </si>
  <si>
    <t>BAJO BAUDÓ</t>
  </si>
  <si>
    <t>CHINÚ</t>
  </si>
  <si>
    <t>ARBELÁEZ</t>
  </si>
  <si>
    <t>PANA PANA</t>
  </si>
  <si>
    <t>BARAYA</t>
  </si>
  <si>
    <t>FONSECA</t>
  </si>
  <si>
    <t>CIÉNAGA</t>
  </si>
  <si>
    <t>CUMARAL</t>
  </si>
  <si>
    <t>CÁCOTA</t>
  </si>
  <si>
    <t>PUERTO GUZMÁN</t>
  </si>
  <si>
    <t>FILANDIA</t>
  </si>
  <si>
    <t>LA CELIA</t>
  </si>
  <si>
    <t>BARRANCABERMEJA</t>
  </si>
  <si>
    <t>COVEÑAS</t>
  </si>
  <si>
    <t>ATACO</t>
  </si>
  <si>
    <t>BUENAVENTURA</t>
  </si>
  <si>
    <t>YAVARATÉ</t>
  </si>
  <si>
    <t>ANTIOQUIAAMALFI</t>
  </si>
  <si>
    <t>PUERTO ALEGRÍA</t>
  </si>
  <si>
    <t>ANGELÓPOLIS</t>
  </si>
  <si>
    <t>TAME</t>
  </si>
  <si>
    <t>LURUACO</t>
  </si>
  <si>
    <t>BOAVITA</t>
  </si>
  <si>
    <t>LA DORADA</t>
  </si>
  <si>
    <t>FLORENCIA</t>
  </si>
  <si>
    <t>NUNCHÍA</t>
  </si>
  <si>
    <t>CALDONO</t>
  </si>
  <si>
    <t>CHIRIGUANÁ</t>
  </si>
  <si>
    <t>BOJAYÁ</t>
  </si>
  <si>
    <t>CIÉNAGA DE ORO</t>
  </si>
  <si>
    <t>BELTRÁN</t>
  </si>
  <si>
    <t>PUERTO COLOMBIA</t>
  </si>
  <si>
    <t>CAMPOALEGRE</t>
  </si>
  <si>
    <t>HATONUEVO</t>
  </si>
  <si>
    <t>CONCORDIA</t>
  </si>
  <si>
    <t>EL CALVARIO</t>
  </si>
  <si>
    <t>BUESACO</t>
  </si>
  <si>
    <t>CHINÁCOTA</t>
  </si>
  <si>
    <t>PUERTO LEGUÍZAMO</t>
  </si>
  <si>
    <t>GÉNOVA</t>
  </si>
  <si>
    <t>LA VIRGINIA</t>
  </si>
  <si>
    <t>BETULIA</t>
  </si>
  <si>
    <t>EL ROBLE</t>
  </si>
  <si>
    <t>CAJAMARCA</t>
  </si>
  <si>
    <t>BUGALAGRANDE</t>
  </si>
  <si>
    <t>ANTIOQUIAANDES</t>
  </si>
  <si>
    <t>PUERTO ARICA</t>
  </si>
  <si>
    <t>ANGOSTURA</t>
  </si>
  <si>
    <t>MALAMBO</t>
  </si>
  <si>
    <t>CANTAGALLO</t>
  </si>
  <si>
    <t>LA MERCED</t>
  </si>
  <si>
    <t>LA MONTAÑITA</t>
  </si>
  <si>
    <t>OROCUÉ</t>
  </si>
  <si>
    <t>CALOTO</t>
  </si>
  <si>
    <t>CURUMANÍ</t>
  </si>
  <si>
    <t>CARMEN DEL DARIÉN</t>
  </si>
  <si>
    <t>COTORRA</t>
  </si>
  <si>
    <t>BITUIMA</t>
  </si>
  <si>
    <t>SAN FELIPE</t>
  </si>
  <si>
    <t>COLOMBIA</t>
  </si>
  <si>
    <t>LA JAGUA DEL PILAR</t>
  </si>
  <si>
    <t>EL BANCO</t>
  </si>
  <si>
    <t>EL CASTILLO</t>
  </si>
  <si>
    <t>CHACHAGÜÍ</t>
  </si>
  <si>
    <t>CHITAGÁ</t>
  </si>
  <si>
    <t>SAN FRANCISCO</t>
  </si>
  <si>
    <t>LA TEBAIDA</t>
  </si>
  <si>
    <t>MARSELLA</t>
  </si>
  <si>
    <t>GALERAS</t>
  </si>
  <si>
    <t>CARMEN DE APICALÁ</t>
  </si>
  <si>
    <t>CAICEDONIA</t>
  </si>
  <si>
    <t>ANTIOQUIAANGELÓPOLIS</t>
  </si>
  <si>
    <t>PUERTO NARIÑO</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</si>
  <si>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</si>
  <si>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</si>
  <si>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</si>
  <si>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</si>
  <si>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</si>
  <si>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</si>
  <si>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</si>
  <si>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</si>
  <si>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</si>
  <si>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</si>
  <si>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</si>
  <si>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</si>
  <si>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</si>
  <si>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</si>
  <si>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</si>
  <si>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</si>
  <si>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</si>
  <si>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</si>
  <si>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</si>
  <si>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</si>
  <si>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</si>
  <si>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</si>
  <si>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</si>
  <si>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CALIMA</t>
  </si>
  <si>
    <t>ANTIOQUIAANGOSTURA</t>
  </si>
  <si>
    <t>PUERTO SANTANDER</t>
  </si>
  <si>
    <t>ANZÁ</t>
  </si>
  <si>
    <t>PALMAR DE VARELA</t>
  </si>
  <si>
    <t>CICUCO</t>
  </si>
  <si>
    <t>MANZANARES</t>
  </si>
  <si>
    <t>MORELIA</t>
  </si>
  <si>
    <t>PORE</t>
  </si>
  <si>
    <t>EL TAMBO</t>
  </si>
  <si>
    <t>EL PASO</t>
  </si>
  <si>
    <t>CONDOTO</t>
  </si>
  <si>
    <t>LORICA</t>
  </si>
  <si>
    <t>CABRERA</t>
  </si>
  <si>
    <t>GARZÓN</t>
  </si>
  <si>
    <t>MANAURE</t>
  </si>
  <si>
    <t>EL RETÉN</t>
  </si>
  <si>
    <t>FUENTE DE ORO</t>
  </si>
  <si>
    <t>CONSACÁ</t>
  </si>
  <si>
    <t>CUCUTILLA</t>
  </si>
  <si>
    <t>SANTIAGO</t>
  </si>
  <si>
    <t>PIJAO</t>
  </si>
  <si>
    <t>PEREIRA</t>
  </si>
  <si>
    <t>LA UNIÓN</t>
  </si>
  <si>
    <t>CHAPARRAL</t>
  </si>
  <si>
    <t>ANTIOQUIAANORÍ</t>
  </si>
  <si>
    <t>TARAPACÁ</t>
  </si>
  <si>
    <t>APARTADÓ</t>
  </si>
  <si>
    <t>PIOJÓ</t>
  </si>
  <si>
    <t>CLEMENCIA</t>
  </si>
  <si>
    <t>BUSBANZÁ</t>
  </si>
  <si>
    <t>MARMATO</t>
  </si>
  <si>
    <t>PUERTO RICO</t>
  </si>
  <si>
    <t>RECETOR</t>
  </si>
  <si>
    <t>GAMARRA</t>
  </si>
  <si>
    <t>EL CANTÓN DEL SAN PABLO</t>
  </si>
  <si>
    <t>LOS CÓRDOBAS</t>
  </si>
  <si>
    <t>CACHIPAY</t>
  </si>
  <si>
    <t>GIGANTE</t>
  </si>
  <si>
    <t>RIOHACHA</t>
  </si>
  <si>
    <t>FUNDACIÓN</t>
  </si>
  <si>
    <t>GRANADA</t>
  </si>
  <si>
    <t>CONTADERO</t>
  </si>
  <si>
    <t>DURANIA</t>
  </si>
  <si>
    <t>SIBUNDOY</t>
  </si>
  <si>
    <t>QUIMBAYA</t>
  </si>
  <si>
    <t>PUEBLO RICO</t>
  </si>
  <si>
    <t>CALIFORNIA</t>
  </si>
  <si>
    <t>LOS PALMITOS</t>
  </si>
  <si>
    <t>COELLO</t>
  </si>
  <si>
    <t>CARTAGO</t>
  </si>
  <si>
    <t>SANTA FÉ DE ANTIOQUIA</t>
  </si>
  <si>
    <t>ANTIOQUIASANTA FÉ DE ANTIOQUIA</t>
  </si>
  <si>
    <t>ARBOLETES</t>
  </si>
  <si>
    <t>POLONUEVO</t>
  </si>
  <si>
    <t>MARQUETALIA</t>
  </si>
  <si>
    <t>SAN JOSÉ DEL FRAGUA</t>
  </si>
  <si>
    <t>SABANALARGA</t>
  </si>
  <si>
    <t>GUACHENÉ</t>
  </si>
  <si>
    <t>GONZÁLEZ</t>
  </si>
  <si>
    <t>EL CARMEN DE ATRATO</t>
  </si>
  <si>
    <t>MOMIL</t>
  </si>
  <si>
    <t>CAJICÁ</t>
  </si>
  <si>
    <t>GUADALUPE</t>
  </si>
  <si>
    <t>SAN JUAN DEL CESAR</t>
  </si>
  <si>
    <t>GUAMAL</t>
  </si>
  <si>
    <t>EL CARMEN</t>
  </si>
  <si>
    <t>VALLE DEL GUAMUEZ</t>
  </si>
  <si>
    <t>SALENTO</t>
  </si>
  <si>
    <t>QUINCHÍA</t>
  </si>
  <si>
    <t>CAPITANEJO</t>
  </si>
  <si>
    <t>MAJAGUAL</t>
  </si>
  <si>
    <t>COYAIMA</t>
  </si>
  <si>
    <t>DAGUA</t>
  </si>
  <si>
    <t>ANTIOQUIAANZÁ</t>
  </si>
  <si>
    <t>PONEDERA</t>
  </si>
  <si>
    <t>EL CARMEN DE BOLÍVAR</t>
  </si>
  <si>
    <t>CAMPOHERMOSO</t>
  </si>
  <si>
    <t>MARULANDA</t>
  </si>
  <si>
    <t>SAN VICENTE DEL CAGUÁN</t>
  </si>
  <si>
    <t>SÁCAMA</t>
  </si>
  <si>
    <t>GUAPI</t>
  </si>
  <si>
    <t>LA GLORIA</t>
  </si>
  <si>
    <t>EL LITORAL DEL SAN JUAN</t>
  </si>
  <si>
    <t>MONTELÍBANO</t>
  </si>
  <si>
    <t>CAPARRAPÍ</t>
  </si>
  <si>
    <t>HOBO</t>
  </si>
  <si>
    <t>URIBIA</t>
  </si>
  <si>
    <t>NUEVA GRANADA</t>
  </si>
  <si>
    <t>LA MACARENA</t>
  </si>
  <si>
    <t>CUASPUD CARLOSAMA</t>
  </si>
  <si>
    <t>EL TARRA</t>
  </si>
  <si>
    <t>VILLAGARZÓN</t>
  </si>
  <si>
    <t>SANTA ROSA DE CABAL</t>
  </si>
  <si>
    <t>CARCASÍ</t>
  </si>
  <si>
    <t>MORROA</t>
  </si>
  <si>
    <t>CUNDAY</t>
  </si>
  <si>
    <t>EL ÁGUILA</t>
  </si>
  <si>
    <t>ANTIOQUIAAPARTADÓ</t>
  </si>
  <si>
    <t>EL GUAMO</t>
  </si>
  <si>
    <t>CERINZA</t>
  </si>
  <si>
    <t>NEIRA</t>
  </si>
  <si>
    <t>SOLANO</t>
  </si>
  <si>
    <t>SAN LUIS DE PALENQUE</t>
  </si>
  <si>
    <t>INZÁ</t>
  </si>
  <si>
    <t>LA JAGUA DE IBIRICO</t>
  </si>
  <si>
    <t>ISTMINA</t>
  </si>
  <si>
    <t>MONTERÍA</t>
  </si>
  <si>
    <t>CÁQUEZA</t>
  </si>
  <si>
    <t>ÍQUIRA</t>
  </si>
  <si>
    <t>URUMITA</t>
  </si>
  <si>
    <t>PEDRAZA</t>
  </si>
  <si>
    <t>LEJANÍAS</t>
  </si>
  <si>
    <t>CUMBAL</t>
  </si>
  <si>
    <t>EL ZULIA</t>
  </si>
  <si>
    <t>SANTUARIO</t>
  </si>
  <si>
    <t>CEPITÁ</t>
  </si>
  <si>
    <t>OVEJAS</t>
  </si>
  <si>
    <t>DOLORES</t>
  </si>
  <si>
    <t>EL CAIRO</t>
  </si>
  <si>
    <t>ANTIOQUIAARBOLETES</t>
  </si>
  <si>
    <t>REPELÓN</t>
  </si>
  <si>
    <t>EL PEÑÓN</t>
  </si>
  <si>
    <t>CHINAVITA</t>
  </si>
  <si>
    <t>NORCASIA</t>
  </si>
  <si>
    <t>SOLITA</t>
  </si>
  <si>
    <t>TÁMARA</t>
  </si>
  <si>
    <t>JAMBALÓ</t>
  </si>
  <si>
    <t>LA PAZ</t>
  </si>
  <si>
    <t>JURADÓ</t>
  </si>
  <si>
    <t>MOÑITOS</t>
  </si>
  <si>
    <t>CARMEN DE CARUPA</t>
  </si>
  <si>
    <t>ISNOS</t>
  </si>
  <si>
    <t>VILLANUEVA</t>
  </si>
  <si>
    <t>PIJIÑO DEL CARMEN</t>
  </si>
  <si>
    <t>MAPIRIPÁN</t>
  </si>
  <si>
    <t>CUMBITARA</t>
  </si>
  <si>
    <t>GRAMALOTE</t>
  </si>
  <si>
    <t>CERRITO</t>
  </si>
  <si>
    <t>PALMITO</t>
  </si>
  <si>
    <t>ESPINAL</t>
  </si>
  <si>
    <t>EL CERRITO</t>
  </si>
  <si>
    <t>ANTIOQUIAARGELIA</t>
  </si>
  <si>
    <t>BELLO</t>
  </si>
  <si>
    <t>SABANAGRANDE</t>
  </si>
  <si>
    <t>HATILLO DE LOBA</t>
  </si>
  <si>
    <t>CHIQUINQUIRÁ</t>
  </si>
  <si>
    <t>PÁCORA</t>
  </si>
  <si>
    <t>VALPARAÍSO</t>
  </si>
  <si>
    <t>TAURAMENA</t>
  </si>
  <si>
    <t>LA SIERRA</t>
  </si>
  <si>
    <t>MANAURE BALCÓN DEL CESAR</t>
  </si>
  <si>
    <t>LLORÓ</t>
  </si>
  <si>
    <t>PLANETA RICA</t>
  </si>
  <si>
    <t>CHAGUANÍ</t>
  </si>
  <si>
    <t>LA ARGENTINA</t>
  </si>
  <si>
    <t>PIVIJAY</t>
  </si>
  <si>
    <t>MESETAS</t>
  </si>
  <si>
    <t>EL CHARCO</t>
  </si>
  <si>
    <t>HACARÍ</t>
  </si>
  <si>
    <t>CHARALÁ</t>
  </si>
  <si>
    <t>SAMPUÉS</t>
  </si>
  <si>
    <t>FALAN</t>
  </si>
  <si>
    <t>EL DOVIO</t>
  </si>
  <si>
    <t>ANTIOQUIAARMENIA</t>
  </si>
  <si>
    <t>BELMIRA</t>
  </si>
  <si>
    <t>MAGANGUÉ</t>
  </si>
  <si>
    <t>CHÍQUIZA</t>
  </si>
  <si>
    <t>PALESTINA</t>
  </si>
  <si>
    <t>TRINIDAD</t>
  </si>
  <si>
    <t>LA VEGA</t>
  </si>
  <si>
    <t>PAILITAS</t>
  </si>
  <si>
    <t>MEDIO ATRATO</t>
  </si>
  <si>
    <t>PUEBLO NUEVO</t>
  </si>
  <si>
    <t>CHÍA</t>
  </si>
  <si>
    <t>LA PLATA</t>
  </si>
  <si>
    <t>PLATO</t>
  </si>
  <si>
    <t>PUERTO CONCORDIA</t>
  </si>
  <si>
    <t>EL PEÑOL</t>
  </si>
  <si>
    <t>HERRÁN</t>
  </si>
  <si>
    <t>CHARTA</t>
  </si>
  <si>
    <t>SAN BENITO ABAD</t>
  </si>
  <si>
    <t>FLANDES</t>
  </si>
  <si>
    <t>FLORIDA</t>
  </si>
  <si>
    <t>ANTIOQUIABARBOSA</t>
  </si>
  <si>
    <t>BETANIA</t>
  </si>
  <si>
    <t>SANTA LUCÍA</t>
  </si>
  <si>
    <t>MAHATES</t>
  </si>
  <si>
    <t>CHISCAS</t>
  </si>
  <si>
    <t>PENSILVANIA</t>
  </si>
  <si>
    <t>LÓPEZ DE MICAY</t>
  </si>
  <si>
    <t>PELAYA</t>
  </si>
  <si>
    <t>MEDIO BAUDÓ</t>
  </si>
  <si>
    <t>PUERTO ESCONDIDO</t>
  </si>
  <si>
    <t>CHIPAQUE</t>
  </si>
  <si>
    <t>NÁTAGA</t>
  </si>
  <si>
    <t>PUEBLOVIEJO</t>
  </si>
  <si>
    <t>PUERTO GAITÁN</t>
  </si>
  <si>
    <t>EL ROSARIO</t>
  </si>
  <si>
    <t>LA ESPERANZA</t>
  </si>
  <si>
    <t>CHIMA</t>
  </si>
  <si>
    <t>SAN JOSÉ DE TOLUVIEJO</t>
  </si>
  <si>
    <t>FRESNO</t>
  </si>
  <si>
    <t>GINEBRA</t>
  </si>
  <si>
    <t>ANTIOQUIABELMIRA</t>
  </si>
  <si>
    <t>SANTO TOMÁS</t>
  </si>
  <si>
    <t>MARGARITA</t>
  </si>
  <si>
    <t>CHITA</t>
  </si>
  <si>
    <t>RIOSUCIO</t>
  </si>
  <si>
    <t>YOPAL</t>
  </si>
  <si>
    <t>MERCADERES</t>
  </si>
  <si>
    <t>PUEBLO BELLO</t>
  </si>
  <si>
    <t>MEDIO SAN JUAN</t>
  </si>
  <si>
    <t>PUERTO LIBERTADOR</t>
  </si>
  <si>
    <t>CHOACHÍ</t>
  </si>
  <si>
    <t>NEIVA</t>
  </si>
  <si>
    <t>REMOLINO</t>
  </si>
  <si>
    <t>PUERTO LLERAS</t>
  </si>
  <si>
    <t>EL TABLÓN DE GÓMEZ</t>
  </si>
  <si>
    <t>LA PLAYA</t>
  </si>
  <si>
    <t>CHIPATÁ</t>
  </si>
  <si>
    <t>SAN JUAN DE BETULIA</t>
  </si>
  <si>
    <t>GUAMO</t>
  </si>
  <si>
    <t>GUACARÍ</t>
  </si>
  <si>
    <t>ANTIOQUIABELLO</t>
  </si>
  <si>
    <t>SOLEDAD</t>
  </si>
  <si>
    <t>MARÍA LA BAJA</t>
  </si>
  <si>
    <t>CHITARAQUE</t>
  </si>
  <si>
    <t>MIRANDA</t>
  </si>
  <si>
    <t>RÍO DE ORO</t>
  </si>
  <si>
    <t>NÓVITA</t>
  </si>
  <si>
    <t>PURÍSIMA DE LA CONCEPCIÓN</t>
  </si>
  <si>
    <t>CHOCONTÁ</t>
  </si>
  <si>
    <t>OPORAPA</t>
  </si>
  <si>
    <t>SABANAS DE SAN ÁNGEL</t>
  </si>
  <si>
    <t>PUERTO LÓPEZ</t>
  </si>
  <si>
    <t>LABATECA</t>
  </si>
  <si>
    <t>CIMITARRA</t>
  </si>
  <si>
    <t>SAN LUIS DE SINCÉ</t>
  </si>
  <si>
    <t>HERVEO</t>
  </si>
  <si>
    <t>GUADALAJARA DE BUGA</t>
  </si>
  <si>
    <t>ANTIOQUIABETANIA</t>
  </si>
  <si>
    <t>BURITICÁ</t>
  </si>
  <si>
    <t>SUAN</t>
  </si>
  <si>
    <t>MONTECRISTO</t>
  </si>
  <si>
    <t>CHIVATÁ</t>
  </si>
  <si>
    <t>SALAMINA</t>
  </si>
  <si>
    <t>MORALES</t>
  </si>
  <si>
    <t>SAN ALBERTO</t>
  </si>
  <si>
    <t>NUQUÍ</t>
  </si>
  <si>
    <t>SAHAGÚN</t>
  </si>
  <si>
    <t>COGUA</t>
  </si>
  <si>
    <t>PAICOL</t>
  </si>
  <si>
    <t>FRANCISCO PIZARRO</t>
  </si>
  <si>
    <t>LOS PATIOS</t>
  </si>
  <si>
    <t>CONCEPCIÓN</t>
  </si>
  <si>
    <t>SAN MARCOS</t>
  </si>
  <si>
    <t>HONDA</t>
  </si>
  <si>
    <t>JAMUNDÍ</t>
  </si>
  <si>
    <t>ANTIOQUIABETULIA</t>
  </si>
  <si>
    <t>CÁCERES</t>
  </si>
  <si>
    <t>TUBARÁ</t>
  </si>
  <si>
    <t>CHIVOR</t>
  </si>
  <si>
    <t>SAMANÁ</t>
  </si>
  <si>
    <t>PADILLA</t>
  </si>
  <si>
    <t>SAN DIEGO</t>
  </si>
  <si>
    <t>QUIBDÓ</t>
  </si>
  <si>
    <t>SAN ANDRÉS DE SOTAVENTO</t>
  </si>
  <si>
    <t>COTA</t>
  </si>
  <si>
    <t>PALERMO</t>
  </si>
  <si>
    <t>SAN SEBASTIÁN DE BUENAVISTA</t>
  </si>
  <si>
    <t>RESTREPO</t>
  </si>
  <si>
    <t>FUNES</t>
  </si>
  <si>
    <t>LOURDES</t>
  </si>
  <si>
    <t>CONFINES</t>
  </si>
  <si>
    <t>SAN ONOFRE</t>
  </si>
  <si>
    <t>IBAGUÉ</t>
  </si>
  <si>
    <t>LA CUMBRE</t>
  </si>
  <si>
    <t>CIUDAD BOLÍVAR</t>
  </si>
  <si>
    <t>ANTIOQUIACIUDAD BOLÍVAR</t>
  </si>
  <si>
    <t>CAICEDO</t>
  </si>
  <si>
    <t>USIACURÍ</t>
  </si>
  <si>
    <t>NOROSÍ</t>
  </si>
  <si>
    <t>CIÉNEGA</t>
  </si>
  <si>
    <t>SAN JOSÉ</t>
  </si>
  <si>
    <t>PÁEZ</t>
  </si>
  <si>
    <t>SAN MARTÍN</t>
  </si>
  <si>
    <t>RÍO IRÓ</t>
  </si>
  <si>
    <t>SAN ANTERO</t>
  </si>
  <si>
    <t>CUCUNUBÁ</t>
  </si>
  <si>
    <t>SAN ZENÓN</t>
  </si>
  <si>
    <t>SAN CARLOS DE GUAROA</t>
  </si>
  <si>
    <t>GUACHUCAL</t>
  </si>
  <si>
    <t>MUTISCUA</t>
  </si>
  <si>
    <t>CONTRATACIÓN</t>
  </si>
  <si>
    <t>SAN PEDRO</t>
  </si>
  <si>
    <t>ICONONZO</t>
  </si>
  <si>
    <t>ANTIOQUIABRICEÑO</t>
  </si>
  <si>
    <t>PINILLOS</t>
  </si>
  <si>
    <t>CÓMBITA</t>
  </si>
  <si>
    <t>SUPÍA</t>
  </si>
  <si>
    <t>PATÍA</t>
  </si>
  <si>
    <t>TAMALAMEQUE</t>
  </si>
  <si>
    <t>RÍO QUITO</t>
  </si>
  <si>
    <t>SAN BERNARDO DEL VIENTO</t>
  </si>
  <si>
    <t>EL COLEGIO</t>
  </si>
  <si>
    <t>PITAL</t>
  </si>
  <si>
    <t>SANTA ANA</t>
  </si>
  <si>
    <t>SAN JUAN DE ARAMA</t>
  </si>
  <si>
    <t>GUAITARILLA</t>
  </si>
  <si>
    <t>OCAÑA</t>
  </si>
  <si>
    <t>COROMORO</t>
  </si>
  <si>
    <t>SANTIAGO DE TOLÚ</t>
  </si>
  <si>
    <t>LÉRIDA</t>
  </si>
  <si>
    <t>ANTIOQUIABURITICÁ</t>
  </si>
  <si>
    <t>CAMPAMENTO</t>
  </si>
  <si>
    <t>REGIDOR</t>
  </si>
  <si>
    <t>COPER</t>
  </si>
  <si>
    <t>VICTORIA</t>
  </si>
  <si>
    <t>PIAMONTE</t>
  </si>
  <si>
    <t>VALLEDUPAR</t>
  </si>
  <si>
    <t>SAN CARLOS</t>
  </si>
  <si>
    <t>PITALITO</t>
  </si>
  <si>
    <t>SANTA BÁRBARA DE PINTO</t>
  </si>
  <si>
    <t>SAN JUANITO</t>
  </si>
  <si>
    <t>GUALMATÁN</t>
  </si>
  <si>
    <t>PAMPLONA</t>
  </si>
  <si>
    <t>CURITÍ</t>
  </si>
  <si>
    <t>SINCELEJO</t>
  </si>
  <si>
    <t>LÍBANO</t>
  </si>
  <si>
    <t>OBANDO</t>
  </si>
  <si>
    <t>ANTIOQUIACÁCERES</t>
  </si>
  <si>
    <t>CAÑASGORDAS</t>
  </si>
  <si>
    <t>RÍO VIEJO</t>
  </si>
  <si>
    <t>CORRALES</t>
  </si>
  <si>
    <t>VILLAMARÍA</t>
  </si>
  <si>
    <t>PIENDAMÓ - TUNÍA</t>
  </si>
  <si>
    <t>SAN JOSÉ DEL PALMAR</t>
  </si>
  <si>
    <t>SAN JOSÉ DE URÉ</t>
  </si>
  <si>
    <t>EL ROSAL</t>
  </si>
  <si>
    <t>RIVERA</t>
  </si>
  <si>
    <t>SANTA MARTA</t>
  </si>
  <si>
    <t>ILES</t>
  </si>
  <si>
    <t>PAMPLONITA</t>
  </si>
  <si>
    <t>EL CARMEN DE CHUCURÍ</t>
  </si>
  <si>
    <t>MELGAR</t>
  </si>
  <si>
    <t>PALMIRA</t>
  </si>
  <si>
    <t>ANTIOQUIACAICEDO</t>
  </si>
  <si>
    <t>CARACOLÍ</t>
  </si>
  <si>
    <t>SAN CRISTÓBAL</t>
  </si>
  <si>
    <t>COVARACHÍA</t>
  </si>
  <si>
    <t>VITERBO</t>
  </si>
  <si>
    <t>POPAYÁN</t>
  </si>
  <si>
    <t>SIPÍ</t>
  </si>
  <si>
    <t>SAN PELAYO</t>
  </si>
  <si>
    <t>FACATATIVÁ</t>
  </si>
  <si>
    <t>SALADOBLANCO</t>
  </si>
  <si>
    <t>SITIONUEVO</t>
  </si>
  <si>
    <t>URIBE</t>
  </si>
  <si>
    <t>IMUÉS</t>
  </si>
  <si>
    <t>EL GUACAMAYO</t>
  </si>
  <si>
    <t>MURILLO</t>
  </si>
  <si>
    <t>PRADERA</t>
  </si>
  <si>
    <t>ANTIOQUIACALDAS</t>
  </si>
  <si>
    <t>CARAMANTA</t>
  </si>
  <si>
    <t>SAN ESTANISLAO</t>
  </si>
  <si>
    <t>CUBARÁ</t>
  </si>
  <si>
    <t>PUERTO TEJADA</t>
  </si>
  <si>
    <t>TADÓ</t>
  </si>
  <si>
    <t>TIERRALTA</t>
  </si>
  <si>
    <t>FÓMEQUE</t>
  </si>
  <si>
    <t>SAN AGUSTÍN</t>
  </si>
  <si>
    <t>TENERIFE</t>
  </si>
  <si>
    <t>VILLAVICENCIO</t>
  </si>
  <si>
    <t>IPIALES</t>
  </si>
  <si>
    <t>RAGONVALIA</t>
  </si>
  <si>
    <t>NATAGAIMA</t>
  </si>
  <si>
    <t>ANTIOQUIACAMPAMENTO</t>
  </si>
  <si>
    <t>CAREPA</t>
  </si>
  <si>
    <t>SAN FERNANDO</t>
  </si>
  <si>
    <t>CUCAITA</t>
  </si>
  <si>
    <t>PURACÉ</t>
  </si>
  <si>
    <t>UNGUÍA</t>
  </si>
  <si>
    <t>TUCHÍN</t>
  </si>
  <si>
    <t>FOSCA</t>
  </si>
  <si>
    <t>SANTA MARÍA</t>
  </si>
  <si>
    <t>ZAPAYÁN</t>
  </si>
  <si>
    <t>VISTAHERMOSA</t>
  </si>
  <si>
    <t>LA CRUZ</t>
  </si>
  <si>
    <t>SALAZAR</t>
  </si>
  <si>
    <t>EL PLAYÓN</t>
  </si>
  <si>
    <t>ORTEGA</t>
  </si>
  <si>
    <t>RIOFRÍO</t>
  </si>
  <si>
    <t>ANTIOQUIACAÑASGORDAS</t>
  </si>
  <si>
    <t>CAROLINA</t>
  </si>
  <si>
    <t>SAN JACINTO</t>
  </si>
  <si>
    <t>CUÍTIVA</t>
  </si>
  <si>
    <t>ROSAS</t>
  </si>
  <si>
    <t>UNIÓN PANAMERICANA</t>
  </si>
  <si>
    <t>VALENCIA</t>
  </si>
  <si>
    <t>FUNZA</t>
  </si>
  <si>
    <t>SUAZA</t>
  </si>
  <si>
    <t>ZONA BANANERA</t>
  </si>
  <si>
    <t>LA FLORIDA</t>
  </si>
  <si>
    <t>SAN CALIXTO</t>
  </si>
  <si>
    <t>ENCINO</t>
  </si>
  <si>
    <t>PALOCABILDO</t>
  </si>
  <si>
    <t>ROLDANILLO</t>
  </si>
  <si>
    <t>ANTIOQUIACARACOLÍ</t>
  </si>
  <si>
    <t>CAUCASIA</t>
  </si>
  <si>
    <t>SAN JACINTO DEL CAUCA</t>
  </si>
  <si>
    <t>DUITAMA</t>
  </si>
  <si>
    <t>SAN SEBASTIÁN</t>
  </si>
  <si>
    <t>FÚQUENE</t>
  </si>
  <si>
    <t>TARQUI</t>
  </si>
  <si>
    <t>LA LLANADA</t>
  </si>
  <si>
    <t>SAN CAYETANO</t>
  </si>
  <si>
    <t>ENCISO</t>
  </si>
  <si>
    <t>PIEDRAS</t>
  </si>
  <si>
    <t>ANTIOQUIACARAMANTA</t>
  </si>
  <si>
    <t>CHIGORODÓ</t>
  </si>
  <si>
    <t>SAN JUAN NEPOMUCENO</t>
  </si>
  <si>
    <t>EL COCUY</t>
  </si>
  <si>
    <t>SANTA ROSA</t>
  </si>
  <si>
    <t>FUSAGASUGÁ</t>
  </si>
  <si>
    <t>TELLO</t>
  </si>
  <si>
    <t>LA TOLA</t>
  </si>
  <si>
    <t>SAN JOSÉ DE CÚCUTA</t>
  </si>
  <si>
    <t>FLORIÁN</t>
  </si>
  <si>
    <t>PLANADAS</t>
  </si>
  <si>
    <t>SANTIAGO DE CALI</t>
  </si>
  <si>
    <t>ANTIOQUIACAREPA</t>
  </si>
  <si>
    <t>CISNEROS</t>
  </si>
  <si>
    <t>SAN MARTÍN DE LOBA</t>
  </si>
  <si>
    <t>EL ESPINO</t>
  </si>
  <si>
    <t>SANTANDER DE QUILICHAO</t>
  </si>
  <si>
    <t>GACHALÁ</t>
  </si>
  <si>
    <t>TERUEL</t>
  </si>
  <si>
    <t>FLORIDABLANCA</t>
  </si>
  <si>
    <t>PRADO</t>
  </si>
  <si>
    <t>SEVILLA</t>
  </si>
  <si>
    <t>EL CARMEN DE VIBORAL</t>
  </si>
  <si>
    <t>ANTIOQUIAEL CARMEN DE VIBORAL</t>
  </si>
  <si>
    <t>SAN PABLO</t>
  </si>
  <si>
    <t>FIRAVITOBA</t>
  </si>
  <si>
    <t>SILVIA</t>
  </si>
  <si>
    <t>GACHANCIPÁ</t>
  </si>
  <si>
    <t>TESALIA</t>
  </si>
  <si>
    <t>LEIVA</t>
  </si>
  <si>
    <t>SARDINATA</t>
  </si>
  <si>
    <t>GALÁN</t>
  </si>
  <si>
    <t>PURIFICACIÓN</t>
  </si>
  <si>
    <t>TORO</t>
  </si>
  <si>
    <t>ANTIOQUIACAROLINA</t>
  </si>
  <si>
    <t>COCORNÁ</t>
  </si>
  <si>
    <t>SANTA CATALINA</t>
  </si>
  <si>
    <t>FLORESTA</t>
  </si>
  <si>
    <t>SOTARÁ PAISPAMBA</t>
  </si>
  <si>
    <t>GACHETÁ</t>
  </si>
  <si>
    <t>TIMANÁ</t>
  </si>
  <si>
    <t>LINARES</t>
  </si>
  <si>
    <t>SILOS</t>
  </si>
  <si>
    <t>GÁMBITA</t>
  </si>
  <si>
    <t>RIOBLANCO</t>
  </si>
  <si>
    <t>TRUJILLO</t>
  </si>
  <si>
    <t>ANTIOQUIACAUCASIA</t>
  </si>
  <si>
    <t>SANTA CRUZ DE MOMPOX</t>
  </si>
  <si>
    <t>GACHANTIVÁ</t>
  </si>
  <si>
    <t>SUÁREZ</t>
  </si>
  <si>
    <t>GAMA</t>
  </si>
  <si>
    <t>VILLAVIEJA</t>
  </si>
  <si>
    <t>LOS ANDES</t>
  </si>
  <si>
    <t>TEORAMA</t>
  </si>
  <si>
    <t>GIRÓN</t>
  </si>
  <si>
    <t>RONCESVALLES</t>
  </si>
  <si>
    <t>TULUÁ</t>
  </si>
  <si>
    <t>ANTIOQUIACHIGORODÓ</t>
  </si>
  <si>
    <t>GÁMEZA</t>
  </si>
  <si>
    <t>GIRARDOT</t>
  </si>
  <si>
    <t>YAGUARÁ</t>
  </si>
  <si>
    <t>MAGÜÍ</t>
  </si>
  <si>
    <t>TIBÚ</t>
  </si>
  <si>
    <t>GUACA</t>
  </si>
  <si>
    <t>ROVIRA</t>
  </si>
  <si>
    <t>ULLOA</t>
  </si>
  <si>
    <t>ANTIOQUIACISNEROS</t>
  </si>
  <si>
    <t>COPACABANA</t>
  </si>
  <si>
    <t>SANTA ROSA DEL SUR</t>
  </si>
  <si>
    <t>GARAGOA</t>
  </si>
  <si>
    <t>TIMBÍO</t>
  </si>
  <si>
    <t>MALLAMA</t>
  </si>
  <si>
    <t>TOLEDO</t>
  </si>
  <si>
    <t>SALDAÑA</t>
  </si>
  <si>
    <t>VERSALLES</t>
  </si>
  <si>
    <t>ANTIOQUIACOCORNÁ</t>
  </si>
  <si>
    <t>DABEIBA</t>
  </si>
  <si>
    <t>SIMITÍ</t>
  </si>
  <si>
    <t>GUACAMAYAS</t>
  </si>
  <si>
    <t>TIMBIQUÍ</t>
  </si>
  <si>
    <t>GUACHETÁ</t>
  </si>
  <si>
    <t>MOSQUERA</t>
  </si>
  <si>
    <t>VILLA CARO</t>
  </si>
  <si>
    <t>GUAPOTÁ</t>
  </si>
  <si>
    <t>SAN ANTONIO</t>
  </si>
  <si>
    <t>VIJES</t>
  </si>
  <si>
    <t>ANTIOQUIACONCEPCIÓN</t>
  </si>
  <si>
    <t>DONMATÍAS</t>
  </si>
  <si>
    <t>SOPLAVIENTO</t>
  </si>
  <si>
    <t>GUATEQUE</t>
  </si>
  <si>
    <t>TORIBÍO</t>
  </si>
  <si>
    <t>GUADUAS</t>
  </si>
  <si>
    <t>VILLA DEL ROSARIO</t>
  </si>
  <si>
    <t>GUAVATÁ</t>
  </si>
  <si>
    <t>SAN LUIS</t>
  </si>
  <si>
    <t>YOTOCO</t>
  </si>
  <si>
    <t>ANTIOQUIACONCORDIA</t>
  </si>
  <si>
    <t>EBÉJICO</t>
  </si>
  <si>
    <t>TALAIGUA NUEVO</t>
  </si>
  <si>
    <t>GUAYATÁ</t>
  </si>
  <si>
    <t>TOTORÓ</t>
  </si>
  <si>
    <t>GUASCA</t>
  </si>
  <si>
    <t>OLAYA HERRERA</t>
  </si>
  <si>
    <t>GÜEPSA</t>
  </si>
  <si>
    <t>SAN SEBASTIÁN DE MARIQUITA</t>
  </si>
  <si>
    <t>YUMBO</t>
  </si>
  <si>
    <t>ANTIOQUIACOPACABANA</t>
  </si>
  <si>
    <t>EL BAGRE</t>
  </si>
  <si>
    <t>TIQUISIO</t>
  </si>
  <si>
    <t>GÜICÁN DE LA SIERRA</t>
  </si>
  <si>
    <t>VILLA RICA</t>
  </si>
  <si>
    <t>GUATAQUÍ</t>
  </si>
  <si>
    <t>OSPINA</t>
  </si>
  <si>
    <t>HATO</t>
  </si>
  <si>
    <t>SANTA ISABEL</t>
  </si>
  <si>
    <t>ZARZAL</t>
  </si>
  <si>
    <t>ANTIOQUIADABEIBA</t>
  </si>
  <si>
    <t>TURBACO</t>
  </si>
  <si>
    <t>IZA</t>
  </si>
  <si>
    <t>GUATAVITA</t>
  </si>
  <si>
    <t>PASTO</t>
  </si>
  <si>
    <t>JESÚS MARÍA</t>
  </si>
  <si>
    <t>ANTIOQUIADONMATÍAS</t>
  </si>
  <si>
    <t>EL SANTUARIO</t>
  </si>
  <si>
    <t>TURBANA</t>
  </si>
  <si>
    <t>JENESANO</t>
  </si>
  <si>
    <t>GUAYABAL DE SÍQUIMA</t>
  </si>
  <si>
    <t>POLICARPA</t>
  </si>
  <si>
    <t>JORDÁN</t>
  </si>
  <si>
    <t>VALLE DE SAN JUAN</t>
  </si>
  <si>
    <t>ANTIOQUIAEBÉJICO</t>
  </si>
  <si>
    <t>ENTRERRÍOS</t>
  </si>
  <si>
    <t>JERICÓ</t>
  </si>
  <si>
    <t>GUAYABETAL</t>
  </si>
  <si>
    <t>POTOSÍ</t>
  </si>
  <si>
    <t>LA BELLEZA</t>
  </si>
  <si>
    <t>VENADILLO</t>
  </si>
  <si>
    <t>ANTIOQUIAEL BAGRE</t>
  </si>
  <si>
    <t>ENVIGADO</t>
  </si>
  <si>
    <t>ZAMBRANO</t>
  </si>
  <si>
    <t>LA CAPILLA</t>
  </si>
  <si>
    <t>GUTIÉRREZ</t>
  </si>
  <si>
    <t>VILLAHERMOSA</t>
  </si>
  <si>
    <t>ANTIOQUIAENTRERRÍOS</t>
  </si>
  <si>
    <t>FREDONIA</t>
  </si>
  <si>
    <t>LA UVITA</t>
  </si>
  <si>
    <t>JERUSALÉN</t>
  </si>
  <si>
    <t>PUERRES</t>
  </si>
  <si>
    <t>LANDÁZURI</t>
  </si>
  <si>
    <t>VILLARRICA</t>
  </si>
  <si>
    <t>ANTIOQUIAENVIGADO</t>
  </si>
  <si>
    <t>FRONTINO</t>
  </si>
  <si>
    <t>JUNÍN</t>
  </si>
  <si>
    <t>PUPIALES</t>
  </si>
  <si>
    <t>LEBRIJA</t>
  </si>
  <si>
    <t>ANTIOQUIAFREDONIA</t>
  </si>
  <si>
    <t>GIRALDO</t>
  </si>
  <si>
    <t>LABRANZAGRANDE</t>
  </si>
  <si>
    <t>LA CALERA</t>
  </si>
  <si>
    <t>RICAURTE</t>
  </si>
  <si>
    <t>LOS SANTOS</t>
  </si>
  <si>
    <t>ANTIOQUIAFRONTINO</t>
  </si>
  <si>
    <t>GIRARDOTA</t>
  </si>
  <si>
    <t>MACANAL</t>
  </si>
  <si>
    <t>LA MESA</t>
  </si>
  <si>
    <t>ROBERTO PAYÁN</t>
  </si>
  <si>
    <t>MACARAVITA</t>
  </si>
  <si>
    <t>ANTIOQUIAGIRALDO</t>
  </si>
  <si>
    <t>GÓMEZ PLATA</t>
  </si>
  <si>
    <t>MARIPÍ</t>
  </si>
  <si>
    <t>LA PALMA</t>
  </si>
  <si>
    <t>SAMANIEGO</t>
  </si>
  <si>
    <t>MÁLAGA</t>
  </si>
  <si>
    <t>ANTIOQUIAGIRARDOTA</t>
  </si>
  <si>
    <t>LA PEÑA</t>
  </si>
  <si>
    <t>SAN ANDRÉS DE TUMACO</t>
  </si>
  <si>
    <t>MATANZA</t>
  </si>
  <si>
    <t>ANTIOQUIAGÓMEZ PLATA</t>
  </si>
  <si>
    <t>MONGUA</t>
  </si>
  <si>
    <t>SAN BERNARDO</t>
  </si>
  <si>
    <t>MOGOTES</t>
  </si>
  <si>
    <t>ANTIOQUIAGRANADA</t>
  </si>
  <si>
    <t>GUARNE</t>
  </si>
  <si>
    <t>MONGUÍ</t>
  </si>
  <si>
    <t>LENGUAZAQUE</t>
  </si>
  <si>
    <t>SAN LORENZO</t>
  </si>
  <si>
    <t>MOLAGAVITA</t>
  </si>
  <si>
    <t>ANTIOQUIAGUADALUPE</t>
  </si>
  <si>
    <t>GUATAPÉ</t>
  </si>
  <si>
    <t>MONIQUIRÁ</t>
  </si>
  <si>
    <t>MACHETÁ</t>
  </si>
  <si>
    <t>OCAMONTE</t>
  </si>
  <si>
    <t>ANTIOQUIAGUARNE</t>
  </si>
  <si>
    <t>HELICONIA</t>
  </si>
  <si>
    <t>MOTAVITA</t>
  </si>
  <si>
    <t>MADRID</t>
  </si>
  <si>
    <t>SAN PEDRO DE CARTAGO</t>
  </si>
  <si>
    <t>OIBA</t>
  </si>
  <si>
    <t>ANTIOQUIAGUATAPÉ</t>
  </si>
  <si>
    <t>HISPANIA</t>
  </si>
  <si>
    <t>MUZO</t>
  </si>
  <si>
    <t>MANTA</t>
  </si>
  <si>
    <t>SANDONÁ</t>
  </si>
  <si>
    <t>ONZAGA</t>
  </si>
  <si>
    <t>ANTIOQUIAHELICONIA</t>
  </si>
  <si>
    <t>ITAGÜÍ</t>
  </si>
  <si>
    <t>NOBSA</t>
  </si>
  <si>
    <t>MEDINA</t>
  </si>
  <si>
    <t>SANTA BÁRBARA</t>
  </si>
  <si>
    <t>PALMAR</t>
  </si>
  <si>
    <t>ANTIOQUIAHISPANIA</t>
  </si>
  <si>
    <t>ITUANGO</t>
  </si>
  <si>
    <t>NUEVO COLÓN</t>
  </si>
  <si>
    <t>SANTACRUZ</t>
  </si>
  <si>
    <t>PALMAS DEL SOCORRO</t>
  </si>
  <si>
    <t>ANTIOQUIAITAGÜÍ</t>
  </si>
  <si>
    <t>JARDÍN</t>
  </si>
  <si>
    <t>OICATÁ</t>
  </si>
  <si>
    <t>SAPUYES</t>
  </si>
  <si>
    <t>PÁRAMO</t>
  </si>
  <si>
    <t>ANTIOQUIAITUANGO</t>
  </si>
  <si>
    <t>OTANCHE</t>
  </si>
  <si>
    <t>NEMOCÓN</t>
  </si>
  <si>
    <t>TAMINANGO</t>
  </si>
  <si>
    <t>PIEDECUESTA</t>
  </si>
  <si>
    <t>ANTIOQUIAJARDÍN</t>
  </si>
  <si>
    <t>LA CEJA</t>
  </si>
  <si>
    <t>PACHAVITA</t>
  </si>
  <si>
    <t>NILO</t>
  </si>
  <si>
    <t>TANGUA</t>
  </si>
  <si>
    <t>PINCHOTE</t>
  </si>
  <si>
    <t>ANTIOQUIAJERICÓ</t>
  </si>
  <si>
    <t>LA ESTRELLA</t>
  </si>
  <si>
    <t>NIMAIMA</t>
  </si>
  <si>
    <t>TÚQUERRES</t>
  </si>
  <si>
    <t>PUENTE NACIONAL</t>
  </si>
  <si>
    <t>ANTIOQUIALA CEJA</t>
  </si>
  <si>
    <t>LA PINTADA</t>
  </si>
  <si>
    <t>PAIPA</t>
  </si>
  <si>
    <t>NOCAIMA</t>
  </si>
  <si>
    <t>YACUANQUER</t>
  </si>
  <si>
    <t>PUERTO PARRA</t>
  </si>
  <si>
    <t>ANTIOQUIALA ESTRELLA</t>
  </si>
  <si>
    <t>PAJARITO</t>
  </si>
  <si>
    <t>PACHO</t>
  </si>
  <si>
    <t>PUERTO WILCHES</t>
  </si>
  <si>
    <t>ANTIOQUIALA PINTADA</t>
  </si>
  <si>
    <t>LIBORINA</t>
  </si>
  <si>
    <t>PANQUEBA</t>
  </si>
  <si>
    <t>PAIME</t>
  </si>
  <si>
    <t>RIONEGRO</t>
  </si>
  <si>
    <t>ANTIOQUIALA UNIÓN</t>
  </si>
  <si>
    <t>MACEO</t>
  </si>
  <si>
    <t>PAUNA</t>
  </si>
  <si>
    <t>PANDI</t>
  </si>
  <si>
    <t>SABANA DE TORRES</t>
  </si>
  <si>
    <t>ANTIOQUIALIBORINA</t>
  </si>
  <si>
    <t>MARINILLA</t>
  </si>
  <si>
    <t>PAYA</t>
  </si>
  <si>
    <t>PARATEBUENO</t>
  </si>
  <si>
    <t>ANTIOQUIAMACEO</t>
  </si>
  <si>
    <t>PAZ DE RÍO</t>
  </si>
  <si>
    <t>PASCA</t>
  </si>
  <si>
    <t>SAN BENITO</t>
  </si>
  <si>
    <t>ANTIOQUIAMARINILLA</t>
  </si>
  <si>
    <t>MONTEBELLO</t>
  </si>
  <si>
    <t>PESCA</t>
  </si>
  <si>
    <t>PUERTO SALGAR</t>
  </si>
  <si>
    <t>SAN GIL</t>
  </si>
  <si>
    <t>ANTIOQUIAMONTEBELLO</t>
  </si>
  <si>
    <t>MURINDÓ</t>
  </si>
  <si>
    <t>PISBA</t>
  </si>
  <si>
    <t>PULÍ</t>
  </si>
  <si>
    <t>SAN JOAQUÍN</t>
  </si>
  <si>
    <t>ANTIOQUIAMURINDÓ</t>
  </si>
  <si>
    <t>MUTATÁ</t>
  </si>
  <si>
    <t>PUERTO BOYACÁ</t>
  </si>
  <si>
    <t>QUEBRADANEGRA</t>
  </si>
  <si>
    <t>SAN JOSÉ DE MIRANDA</t>
  </si>
  <si>
    <t>ANTIOQUIAMUTATÁ</t>
  </si>
  <si>
    <t>QUÍPAMA</t>
  </si>
  <si>
    <t>QUETAME</t>
  </si>
  <si>
    <t>ANTIOQUIANARIÑO</t>
  </si>
  <si>
    <t>NECHÍ</t>
  </si>
  <si>
    <t>RAMIRIQUÍ</t>
  </si>
  <si>
    <t>QUIPILE</t>
  </si>
  <si>
    <t>SAN VICENTE DE CHUCURÍ</t>
  </si>
  <si>
    <t>NECOCLÍ</t>
  </si>
  <si>
    <t>ANTIOQUIANECOCLÍ</t>
  </si>
  <si>
    <t>RÁQUIRA</t>
  </si>
  <si>
    <t>ANTIOQUIANECHÍ</t>
  </si>
  <si>
    <t>OLAYA</t>
  </si>
  <si>
    <t>RONDÓN</t>
  </si>
  <si>
    <t>SAN ANTONIO DEL TEQUENDAMA</t>
  </si>
  <si>
    <t>SANTA HELENA DEL OPÓN</t>
  </si>
  <si>
    <t>ANTIOQUIAOLAYA</t>
  </si>
  <si>
    <t>PEÑOL</t>
  </si>
  <si>
    <t>SABOYÁ</t>
  </si>
  <si>
    <t>SIMACOTA</t>
  </si>
  <si>
    <t>ANTIOQUIAPEÑOL</t>
  </si>
  <si>
    <t>PEQUE</t>
  </si>
  <si>
    <t>SÁCHICA</t>
  </si>
  <si>
    <t>SOCORRO</t>
  </si>
  <si>
    <t>ANTIOQUIAPEQUE</t>
  </si>
  <si>
    <t>PUEBLORRICO</t>
  </si>
  <si>
    <t>SAMACÁ</t>
  </si>
  <si>
    <t>SUAITA</t>
  </si>
  <si>
    <t>ANTIOQUIAPUEBLORRICO</t>
  </si>
  <si>
    <t>PUERTO BERRÍO</t>
  </si>
  <si>
    <t>SAN EDUARDO</t>
  </si>
  <si>
    <t>SAN JUAN DE RIOSECO</t>
  </si>
  <si>
    <t>ANTIOQUIAPUERTO BERRÍO</t>
  </si>
  <si>
    <t>PUERTO NARE</t>
  </si>
  <si>
    <t>SAN JOSÉ DE PARE</t>
  </si>
  <si>
    <t>SASAIMA</t>
  </si>
  <si>
    <t>SURATÁ</t>
  </si>
  <si>
    <t>ANTIOQUIAPUERTO NARE</t>
  </si>
  <si>
    <t>PUERTO TRIUNFO</t>
  </si>
  <si>
    <t>SAN LUIS DE GACENO</t>
  </si>
  <si>
    <t>SESQUILÉ</t>
  </si>
  <si>
    <t>TONA</t>
  </si>
  <si>
    <t>ANTIOQUIAPUERTO TRIUNFO</t>
  </si>
  <si>
    <t>REMEDIOS</t>
  </si>
  <si>
    <t>SAN MATEO</t>
  </si>
  <si>
    <t>SIBATÉ</t>
  </si>
  <si>
    <t>VALLE DE SAN JOSÉ</t>
  </si>
  <si>
    <t>ANTIOQUIAREMEDIOS</t>
  </si>
  <si>
    <t>RETIRO</t>
  </si>
  <si>
    <t>SAN MIGUEL DE SEMA</t>
  </si>
  <si>
    <t>SILVANIA</t>
  </si>
  <si>
    <t>VÉLEZ</t>
  </si>
  <si>
    <t>ANTIOQUIARETIRO</t>
  </si>
  <si>
    <t>SAN PABLO DE BORBUR</t>
  </si>
  <si>
    <t>SIMIJACA</t>
  </si>
  <si>
    <t>VETAS</t>
  </si>
  <si>
    <t>ANTIOQUIARIONEGRO</t>
  </si>
  <si>
    <t>SOACHA</t>
  </si>
  <si>
    <t>ANTIOQUIASABANALARGA</t>
  </si>
  <si>
    <t>SABANETA</t>
  </si>
  <si>
    <t>SANTA ROSA DE VITERBO</t>
  </si>
  <si>
    <t>SOPÓ</t>
  </si>
  <si>
    <t>ZAPATOCA</t>
  </si>
  <si>
    <t>ANTIOQUIASABANETA</t>
  </si>
  <si>
    <t>SALGAR</t>
  </si>
  <si>
    <t>SANTA SOFÍA</t>
  </si>
  <si>
    <t>SUBACHOQUE</t>
  </si>
  <si>
    <t>ANTIOQUIASALGAR</t>
  </si>
  <si>
    <t>SAN ANDRÉS DE CUERQUÍA</t>
  </si>
  <si>
    <t>SANTANA</t>
  </si>
  <si>
    <t>SUESCA</t>
  </si>
  <si>
    <t>ANTIOQUIASAN ANDRÉS DE CUERQUÍA</t>
  </si>
  <si>
    <t>SATIVANORTE</t>
  </si>
  <si>
    <t>SUPATÁ</t>
  </si>
  <si>
    <t>ANTIOQUIASAN CARLOS</t>
  </si>
  <si>
    <t>SATIVASUR</t>
  </si>
  <si>
    <t>SUSA</t>
  </si>
  <si>
    <t>ANTIOQUIASAN FRANCISCO</t>
  </si>
  <si>
    <t>SAN JERÓNIMO</t>
  </si>
  <si>
    <t>SIACHOQUE</t>
  </si>
  <si>
    <t>SUTATAUSA</t>
  </si>
  <si>
    <t>ANTIOQUIASAN JERÓNIMO</t>
  </si>
  <si>
    <t>SAN JOSÉ DE LA MONTAÑA</t>
  </si>
  <si>
    <t>SOATÁ</t>
  </si>
  <si>
    <t>TABIO</t>
  </si>
  <si>
    <t>ANTIOQUIASAN JOSÉ DE LA MONTAÑA</t>
  </si>
  <si>
    <t>SAN JUAN DE URABÁ</t>
  </si>
  <si>
    <t>SOCHA</t>
  </si>
  <si>
    <t>TAUSA</t>
  </si>
  <si>
    <t>ANTIOQUIASAN JUAN DE URABÁ</t>
  </si>
  <si>
    <t>SOCOTÁ</t>
  </si>
  <si>
    <t>TENA</t>
  </si>
  <si>
    <t>ANTIOQUIASAN LUIS</t>
  </si>
  <si>
    <t>SAN PEDRO DE LOS MILAGROS</t>
  </si>
  <si>
    <t>SOGAMOSO</t>
  </si>
  <si>
    <t>TENJO</t>
  </si>
  <si>
    <t>ANTIOQUIASAN PEDRO DE LOS MILAGROS</t>
  </si>
  <si>
    <t>SAN PEDRO DE URABÁ</t>
  </si>
  <si>
    <t>SOMONDOCO</t>
  </si>
  <si>
    <t>TIBACUY</t>
  </si>
  <si>
    <t>ANTIOQUIASAN PEDRO DE URABÁ</t>
  </si>
  <si>
    <t>SAN RAFAEL</t>
  </si>
  <si>
    <t>SORA</t>
  </si>
  <si>
    <t>TIBIRITA</t>
  </si>
  <si>
    <t>ANTIOQUIASAN RAFAEL</t>
  </si>
  <si>
    <t>SAN ROQUE</t>
  </si>
  <si>
    <t>SORACÁ</t>
  </si>
  <si>
    <t>TOCAIMA</t>
  </si>
  <si>
    <t>ANTIOQUIASAN ROQUE</t>
  </si>
  <si>
    <t>SAN VICENTE FERRER</t>
  </si>
  <si>
    <t>SOTAQUIRÁ</t>
  </si>
  <si>
    <t>TOCANCIPÁ</t>
  </si>
  <si>
    <t>ANTIOQUIASAN VICENTE FERRER</t>
  </si>
  <si>
    <t>SUSACÓN</t>
  </si>
  <si>
    <t>TOPAIPÍ</t>
  </si>
  <si>
    <t>ANTIOQUIASANTA BÁRBARA</t>
  </si>
  <si>
    <t>SUTAMARCHÁN</t>
  </si>
  <si>
    <t>UBALÁ</t>
  </si>
  <si>
    <t>SANTA ROSA DE OSOS</t>
  </si>
  <si>
    <t>ANTIOQUIASANTA ROSA DE OSOS</t>
  </si>
  <si>
    <t>SUTATENZA</t>
  </si>
  <si>
    <t>UBAQUE</t>
  </si>
  <si>
    <t>SANTO DOMINGO</t>
  </si>
  <si>
    <t>ANTIOQUIASANTO DOMINGO</t>
  </si>
  <si>
    <t>TASCO</t>
  </si>
  <si>
    <t>UNE</t>
  </si>
  <si>
    <t>ANTIOQUIAEL SANTUARIO</t>
  </si>
  <si>
    <t>SEGOVIA</t>
  </si>
  <si>
    <t>TENZA</t>
  </si>
  <si>
    <t>ÚTICA</t>
  </si>
  <si>
    <t>ANTIOQUIASEGOVIA</t>
  </si>
  <si>
    <t>SONSÓN</t>
  </si>
  <si>
    <t>TIBANÁ</t>
  </si>
  <si>
    <t>VENECIA</t>
  </si>
  <si>
    <t>ANTIOQUIASONSÓN</t>
  </si>
  <si>
    <t>SOPETRÁN</t>
  </si>
  <si>
    <t>TIBASOSA</t>
  </si>
  <si>
    <t>VERGARA</t>
  </si>
  <si>
    <t>ANTIOQUIASOPETRÁN</t>
  </si>
  <si>
    <t>TÁMESIS</t>
  </si>
  <si>
    <t>TINJACÁ</t>
  </si>
  <si>
    <t>VIANÍ</t>
  </si>
  <si>
    <t>ANTIOQUIATÁMESIS</t>
  </si>
  <si>
    <t>TARAZÁ</t>
  </si>
  <si>
    <t>TIPACOQUE</t>
  </si>
  <si>
    <t>VILLA DE SAN DIEGO DE UBATÉ</t>
  </si>
  <si>
    <t>ANTIOQUIATARAZÁ</t>
  </si>
  <si>
    <t>TARSO</t>
  </si>
  <si>
    <t>TOCA</t>
  </si>
  <si>
    <t>VILLAGÓMEZ</t>
  </si>
  <si>
    <t>ANTIOQUIATARSO</t>
  </si>
  <si>
    <t>TITIRIBÍ</t>
  </si>
  <si>
    <t>TOGÜÍ</t>
  </si>
  <si>
    <t>VILLAPINZÓN</t>
  </si>
  <si>
    <t>ANTIOQUIATITIRIBÍ</t>
  </si>
  <si>
    <t>TÓPAGA</t>
  </si>
  <si>
    <t>VILLETA</t>
  </si>
  <si>
    <t>ANTIOQUIATOLEDO</t>
  </si>
  <si>
    <t>TURBO</t>
  </si>
  <si>
    <t>TOTA</t>
  </si>
  <si>
    <t>VIOTÁ</t>
  </si>
  <si>
    <t>ANTIOQUIATURBO</t>
  </si>
  <si>
    <t>URAMITA</t>
  </si>
  <si>
    <t>TUNJA</t>
  </si>
  <si>
    <t>YACOPÍ</t>
  </si>
  <si>
    <t>ANTIOQUIAURAMITA</t>
  </si>
  <si>
    <t>URRAO</t>
  </si>
  <si>
    <t>TUNUNGUÁ</t>
  </si>
  <si>
    <t>ZIPACÓN</t>
  </si>
  <si>
    <t>ANTIOQUIAURRAO</t>
  </si>
  <si>
    <t>VALDIVIA</t>
  </si>
  <si>
    <t>TURMEQUÉ</t>
  </si>
  <si>
    <t>ZIPAQUIRÁ</t>
  </si>
  <si>
    <t>ANTIOQUIAVALDIVIA</t>
  </si>
  <si>
    <t>TUTA</t>
  </si>
  <si>
    <t>ANTIOQUIAVALPARAÍSO</t>
  </si>
  <si>
    <t>VEGACHÍ</t>
  </si>
  <si>
    <t>TUTAZÁ</t>
  </si>
  <si>
    <t>ANTIOQUIAVEGACHÍ</t>
  </si>
  <si>
    <t>ÚMBITA</t>
  </si>
  <si>
    <t>ANTIOQUIAVENECIA</t>
  </si>
  <si>
    <t>VIGÍA DEL FUERTE</t>
  </si>
  <si>
    <t>VENTAQUEMADA</t>
  </si>
  <si>
    <t>ANTIOQUIAVIGÍA DEL FUERTE</t>
  </si>
  <si>
    <t>YALÍ</t>
  </si>
  <si>
    <t>VILLA DE LEYVA</t>
  </si>
  <si>
    <t>ANTIOQUIAYALÍ</t>
  </si>
  <si>
    <t>YARUMAL</t>
  </si>
  <si>
    <t>VIRACACHÁ</t>
  </si>
  <si>
    <t>ANTIOQUIAYARUMAL</t>
  </si>
  <si>
    <t>YOLOMBÓ</t>
  </si>
  <si>
    <t>ZETAQUIRA</t>
  </si>
  <si>
    <t>ANTIOQUIAYOLOMBÓ</t>
  </si>
  <si>
    <t>YONDÓ</t>
  </si>
  <si>
    <t>ANTIOQUIAYONDÓ</t>
  </si>
  <si>
    <t>ZARAGOZA</t>
  </si>
  <si>
    <t>ANTIOQUIAZARAGOZA</t>
  </si>
  <si>
    <t>ATLÁNTICOBARRANQUILLA</t>
  </si>
  <si>
    <t>ATLÁNTICOBARANOA</t>
  </si>
  <si>
    <t>ATLÁNTICOCAMPO DE LA CRUZ</t>
  </si>
  <si>
    <t>ATLÁNTICOCANDELARIA</t>
  </si>
  <si>
    <t>ATLÁNTICOGALAPA</t>
  </si>
  <si>
    <t>ATLÁNTICOJUAN DE ACOSTA</t>
  </si>
  <si>
    <t>ATLÁNTICOLURUACO</t>
  </si>
  <si>
    <t>ATLÁNTICOMALAMBO</t>
  </si>
  <si>
    <t>ATLÁNTICOMANATÍ</t>
  </si>
  <si>
    <t>ATLÁNTICOPALMAR DE VARELA</t>
  </si>
  <si>
    <t>ATLÁNTICOPIOJÓ</t>
  </si>
  <si>
    <t>ATLÁNTICOPOLONUEVO</t>
  </si>
  <si>
    <t>ATLÁNTICOPONEDERA</t>
  </si>
  <si>
    <t>ATLÁNTICOPUERTO COLOMBIA</t>
  </si>
  <si>
    <t>ATLÁNTICOREPELÓN</t>
  </si>
  <si>
    <t>ATLÁNTICOSABANAGRANDE</t>
  </si>
  <si>
    <t>ATLÁNTICOSABANALARGA</t>
  </si>
  <si>
    <t>ATLÁNTICOSANTA LUCÍA</t>
  </si>
  <si>
    <t>ATLÁNTICOSANTO TOMÁS</t>
  </si>
  <si>
    <t>ATLÁNTICOSOLEDAD</t>
  </si>
  <si>
    <t>ATLÁNTICOSUAN</t>
  </si>
  <si>
    <t>ATLÁNTICOTUBARÁ</t>
  </si>
  <si>
    <t>ATLÁNTICOUSIACURÍ</t>
  </si>
  <si>
    <t>BOGOTÁBOGOTÁ, D.C.</t>
  </si>
  <si>
    <t>BOLÍVARCARTAGENA DE INDIAS</t>
  </si>
  <si>
    <t>BOLÍVARACHÍ</t>
  </si>
  <si>
    <t>BOLÍVARALTOS DEL ROSARIO</t>
  </si>
  <si>
    <t>BOLÍVARARENAL</t>
  </si>
  <si>
    <t>BOLÍVARARJONA</t>
  </si>
  <si>
    <t>BOLÍVARARROYOHONDO</t>
  </si>
  <si>
    <t>BOLÍVARBARRANCO DE LOBA</t>
  </si>
  <si>
    <t>BOLÍVARCALAMAR</t>
  </si>
  <si>
    <t>BOLÍVARCANTAGALLO</t>
  </si>
  <si>
    <t>BOLÍVARCICUCO</t>
  </si>
  <si>
    <t>BOLÍVARCÓRDOBA</t>
  </si>
  <si>
    <t>BOLÍVARCLEMENCIA</t>
  </si>
  <si>
    <t>BOLÍVAREL CARMEN DE BOLÍVAR</t>
  </si>
  <si>
    <t>BOLÍVAREL GUAMO</t>
  </si>
  <si>
    <t>BOLÍVAREL PEÑÓN</t>
  </si>
  <si>
    <t>BOLÍVARHATILLO DE LOBA</t>
  </si>
  <si>
    <t>BOLÍVARMAGANGUÉ</t>
  </si>
  <si>
    <t>BOLÍVARMAHATES</t>
  </si>
  <si>
    <t>BOLÍVARMARGARITA</t>
  </si>
  <si>
    <t>BOLÍVARMARÍA LA BAJA</t>
  </si>
  <si>
    <t>BOLÍVARMONTECRISTO</t>
  </si>
  <si>
    <t>BOLÍVARSANTA CRUZ DE MOMPOX</t>
  </si>
  <si>
    <t>BOLÍVARMORALES</t>
  </si>
  <si>
    <t>BOLÍVARNOROSÍ</t>
  </si>
  <si>
    <t>BOLÍVARPINILLOS</t>
  </si>
  <si>
    <t>BOLÍVARREGIDOR</t>
  </si>
  <si>
    <t>BOLÍVARRÍO VIEJO</t>
  </si>
  <si>
    <t>BOLÍVARSAN CRISTÓBAL</t>
  </si>
  <si>
    <t>BOLÍVARSAN ESTANISLAO</t>
  </si>
  <si>
    <t>BOLÍVARSAN FERNANDO</t>
  </si>
  <si>
    <t>BOLÍVARSAN JACINTO</t>
  </si>
  <si>
    <t>BOLÍVARSAN JACINTO DEL CAUCA</t>
  </si>
  <si>
    <t>BOLÍVARSAN JUAN NEPOMUCENO</t>
  </si>
  <si>
    <t>BOLÍVARSAN MARTÍN DE LOBA</t>
  </si>
  <si>
    <t>BOLÍVARSAN PABLO</t>
  </si>
  <si>
    <t>BOLÍVARSANTA CATALINA</t>
  </si>
  <si>
    <t>BOLÍVARSANTA ROSA</t>
  </si>
  <si>
    <t>BOLÍVARSANTA ROSA DEL SUR</t>
  </si>
  <si>
    <t>BOLÍVARSIMITÍ</t>
  </si>
  <si>
    <t>BOLÍVARSOPLAVIENTO</t>
  </si>
  <si>
    <t>BOLÍVARTALAIGUA NUEVO</t>
  </si>
  <si>
    <t>BOLÍVARTIQUISIO</t>
  </si>
  <si>
    <t>BOLÍVARTURBACO</t>
  </si>
  <si>
    <t>BOLÍVARTURBANA</t>
  </si>
  <si>
    <t>BOLÍVARVILLANUEVA</t>
  </si>
  <si>
    <t>BOLÍVARZAMBRANO</t>
  </si>
  <si>
    <t>BOYACÁTUNJA</t>
  </si>
  <si>
    <t>BOYACÁALMEIDA</t>
  </si>
  <si>
    <t>BOYACÁAQUITANIA</t>
  </si>
  <si>
    <t>BOYACÁARCABUCO</t>
  </si>
  <si>
    <t>BOYACÁBELÉN</t>
  </si>
  <si>
    <t>BOYACÁBERBEO</t>
  </si>
  <si>
    <t>BOYACÁBETÉITIVA</t>
  </si>
  <si>
    <t>BOYACÁBOAVITA</t>
  </si>
  <si>
    <t>BOYACÁBOYACÁ</t>
  </si>
  <si>
    <t>BOYACÁBRICEÑO</t>
  </si>
  <si>
    <t>BOYACÁBUENAVISTA</t>
  </si>
  <si>
    <t>BOYACÁBUSBANZÁ</t>
  </si>
  <si>
    <t>BOYACÁCALDAS</t>
  </si>
  <si>
    <t>BOYACÁCAMPOHERMOSO</t>
  </si>
  <si>
    <t>BOYACÁCERINZA</t>
  </si>
  <si>
    <t>BOYACÁCHINAVITA</t>
  </si>
  <si>
    <t>BOYACÁCHIQUINQUIRÁ</t>
  </si>
  <si>
    <t>BOYACÁCHISCAS</t>
  </si>
  <si>
    <t>BOYACÁCHITA</t>
  </si>
  <si>
    <t>BOYACÁCHITARAQUE</t>
  </si>
  <si>
    <t>BOYACÁCHIVATÁ</t>
  </si>
  <si>
    <t>BOYACÁCIÉNEGA</t>
  </si>
  <si>
    <t>BOYACÁCÓMBITA</t>
  </si>
  <si>
    <t>BOYACÁCOPER</t>
  </si>
  <si>
    <t>BOYACÁCORRALES</t>
  </si>
  <si>
    <t>BOYACÁCOVARACHÍA</t>
  </si>
  <si>
    <t>BOYACÁCUBARÁ</t>
  </si>
  <si>
    <t>BOYACÁCUCAITA</t>
  </si>
  <si>
    <t>BOYACÁCUÍTIVA</t>
  </si>
  <si>
    <t>BOYACÁCHÍQUIZA</t>
  </si>
  <si>
    <t>BOYACÁCHIVOR</t>
  </si>
  <si>
    <t>BOYACÁDUITAMA</t>
  </si>
  <si>
    <t>BOYACÁEL COCUY</t>
  </si>
  <si>
    <t>BOYACÁEL ESPINO</t>
  </si>
  <si>
    <t>BOYACÁFIRAVITOBA</t>
  </si>
  <si>
    <t>BOYACÁFLORESTA</t>
  </si>
  <si>
    <t>BOYACÁGACHANTIVÁ</t>
  </si>
  <si>
    <t>BOYACÁGÁMEZA</t>
  </si>
  <si>
    <t>BOYACÁGARAGOA</t>
  </si>
  <si>
    <t>BOYACÁGUACAMAYAS</t>
  </si>
  <si>
    <t>BOYACÁGUATEQUE</t>
  </si>
  <si>
    <t>BOYACÁGUAYATÁ</t>
  </si>
  <si>
    <t>BOYACÁGÜICÁN DE LA SIERRA</t>
  </si>
  <si>
    <t>BOYACÁIZA</t>
  </si>
  <si>
    <t>BOYACÁJENESANO</t>
  </si>
  <si>
    <t>BOYACÁJERICÓ</t>
  </si>
  <si>
    <t>BOYACÁLABRANZAGRANDE</t>
  </si>
  <si>
    <t>BOYACÁLA CAPILLA</t>
  </si>
  <si>
    <t>BOYACÁLA VICTORIA</t>
  </si>
  <si>
    <t>BOYACÁLA UVITA</t>
  </si>
  <si>
    <t>BOYACÁVILLA DE LEYVA</t>
  </si>
  <si>
    <t>BOYACÁMACANAL</t>
  </si>
  <si>
    <t>BOYACÁMARIPÍ</t>
  </si>
  <si>
    <t>BOYACÁMIRAFLORES</t>
  </si>
  <si>
    <t>BOYACÁMONGUA</t>
  </si>
  <si>
    <t>BOYACÁMONGUÍ</t>
  </si>
  <si>
    <t>BOYACÁMONIQUIRÁ</t>
  </si>
  <si>
    <t>BOYACÁMOTAVITA</t>
  </si>
  <si>
    <t>BOYACÁMUZO</t>
  </si>
  <si>
    <t>BOYACÁNOBSA</t>
  </si>
  <si>
    <t>BOYACÁNUEVO COLÓN</t>
  </si>
  <si>
    <t>BOYACÁOICATÁ</t>
  </si>
  <si>
    <t>BOYACÁOTANCHE</t>
  </si>
  <si>
    <t>BOYACÁPACHAVITA</t>
  </si>
  <si>
    <t>BOYACÁPÁEZ</t>
  </si>
  <si>
    <t>BOYACÁPAIPA</t>
  </si>
  <si>
    <t>BOYACÁPAJARITO</t>
  </si>
  <si>
    <t>BOYACÁPANQUEBA</t>
  </si>
  <si>
    <t>BOYACÁPAUNA</t>
  </si>
  <si>
    <t>BOYACÁPAYA</t>
  </si>
  <si>
    <t>BOYACÁPAZ DE RÍO</t>
  </si>
  <si>
    <t>BOYACÁPESCA</t>
  </si>
  <si>
    <t>BOYACÁPISBA</t>
  </si>
  <si>
    <t>BOYACÁPUERTO BOYACÁ</t>
  </si>
  <si>
    <t>BOYACÁQUÍPAMA</t>
  </si>
  <si>
    <t>BOYACÁRAMIRIQUÍ</t>
  </si>
  <si>
    <t>BOYACÁRÁQUIRA</t>
  </si>
  <si>
    <t>BOYACÁRONDÓN</t>
  </si>
  <si>
    <t>BOYACÁSABOYÁ</t>
  </si>
  <si>
    <t>BOYACÁSÁCHICA</t>
  </si>
  <si>
    <t>BOYACÁSAMACÁ</t>
  </si>
  <si>
    <t>BOYACÁSAN EDUARDO</t>
  </si>
  <si>
    <t>BOYACÁSAN JOSÉ DE PARE</t>
  </si>
  <si>
    <t>BOYACÁSAN LUIS DE GACENO</t>
  </si>
  <si>
    <t>BOYACÁSAN MATEO</t>
  </si>
  <si>
    <t>BOYACÁSAN MIGUEL DE SEMA</t>
  </si>
  <si>
    <t>BOYACÁSAN PABLO DE BORBUR</t>
  </si>
  <si>
    <t>BOYACÁSANTANA</t>
  </si>
  <si>
    <t>BOYACÁSANTA MARÍA</t>
  </si>
  <si>
    <t>BOYACÁSANTA ROSA DE VITERBO</t>
  </si>
  <si>
    <t>BOYACÁSANTA SOFÍA</t>
  </si>
  <si>
    <t>BOYACÁSATIVANORTE</t>
  </si>
  <si>
    <t>BOYACÁSATIVASUR</t>
  </si>
  <si>
    <t>BOYACÁSIACHOQUE</t>
  </si>
  <si>
    <t>BOYACÁSOATÁ</t>
  </si>
  <si>
    <t>BOYACÁSOCOTÁ</t>
  </si>
  <si>
    <t>BOYACÁSOCHA</t>
  </si>
  <si>
    <t>BOYACÁSOGAMOSO</t>
  </si>
  <si>
    <t>BOYACÁSOMONDOCO</t>
  </si>
  <si>
    <t>BOYACÁSORA</t>
  </si>
  <si>
    <t>BOYACÁSOTAQUIRÁ</t>
  </si>
  <si>
    <t>BOYACÁSORACÁ</t>
  </si>
  <si>
    <t>BOYACÁSUSACÓN</t>
  </si>
  <si>
    <t>BOYACÁSUTAMARCHÁN</t>
  </si>
  <si>
    <t>BOYACÁSUTATENZA</t>
  </si>
  <si>
    <t>BOYACÁTASCO</t>
  </si>
  <si>
    <t>BOYACÁTENZA</t>
  </si>
  <si>
    <t>BOYACÁTIBANÁ</t>
  </si>
  <si>
    <t>BOYACÁTIBASOSA</t>
  </si>
  <si>
    <t>BOYACÁTINJACÁ</t>
  </si>
  <si>
    <t>BOYACÁTIPACOQUE</t>
  </si>
  <si>
    <t>BOYACÁTOCA</t>
  </si>
  <si>
    <t>BOYACÁTOGÜÍ</t>
  </si>
  <si>
    <t>BOYACÁTÓPAGA</t>
  </si>
  <si>
    <t>BOYACÁTOTA</t>
  </si>
  <si>
    <t>BOYACÁTUNUNGUÁ</t>
  </si>
  <si>
    <t>BOYACÁTURMEQUÉ</t>
  </si>
  <si>
    <t>BOYACÁTUTA</t>
  </si>
  <si>
    <t>BOYACÁTUTAZÁ</t>
  </si>
  <si>
    <t>BOYACÁÚMBITA</t>
  </si>
  <si>
    <t>BOYACÁVENTAQUEMADA</t>
  </si>
  <si>
    <t>BOYACÁVIRACACHÁ</t>
  </si>
  <si>
    <t>BOYACÁZETAQUIRA</t>
  </si>
  <si>
    <t>CALDASMANIZALES</t>
  </si>
  <si>
    <t>CALDASAGUADAS</t>
  </si>
  <si>
    <t>CALDASANSERMA</t>
  </si>
  <si>
    <t>CALDASARANZAZU</t>
  </si>
  <si>
    <t>CALDASBELALCÁZAR</t>
  </si>
  <si>
    <t>CALDASCHINCHINÁ</t>
  </si>
  <si>
    <t>CALDASFILADELFIA</t>
  </si>
  <si>
    <t>CALDASLA DORADA</t>
  </si>
  <si>
    <t>CALDASLA MERCED</t>
  </si>
  <si>
    <t>CALDASMANZANARES</t>
  </si>
  <si>
    <t>CALDASMARMATO</t>
  </si>
  <si>
    <t>CALDASMARQUETALIA</t>
  </si>
  <si>
    <t>CALDASMARULANDA</t>
  </si>
  <si>
    <t>CALDASNEIRA</t>
  </si>
  <si>
    <t>CALDASNORCASIA</t>
  </si>
  <si>
    <t>CALDASPÁCORA</t>
  </si>
  <si>
    <t>CALDASPALESTINA</t>
  </si>
  <si>
    <t>CALDASPENSILVANIA</t>
  </si>
  <si>
    <t>CALDASRIOSUCIO</t>
  </si>
  <si>
    <t>CALDASRISARALDA</t>
  </si>
  <si>
    <t>CALDASSALAMINA</t>
  </si>
  <si>
    <t>CALDASSAMANÁ</t>
  </si>
  <si>
    <t>CALDASSAN JOSÉ</t>
  </si>
  <si>
    <t>CALDASSUPÍA</t>
  </si>
  <si>
    <t>CALDASVICTORIA</t>
  </si>
  <si>
    <t>CALDASVILLAMARÍA</t>
  </si>
  <si>
    <t>CALDASVITERBO</t>
  </si>
  <si>
    <t>CAQUETÁFLORENCIA</t>
  </si>
  <si>
    <t>CAQUETÁALBANIA</t>
  </si>
  <si>
    <t>CAQUETÁBELÉN DE LOS ANDAQUÍES</t>
  </si>
  <si>
    <t>CAQUETÁCARTAGENA DEL CHAIRÁ</t>
  </si>
  <si>
    <t>CAQUETÁCURILLO</t>
  </si>
  <si>
    <t>CAQUETÁEL DONCELLO</t>
  </si>
  <si>
    <t>CAQUETÁEL PAUJÍL</t>
  </si>
  <si>
    <t>CAQUETÁLA MONTAÑITA</t>
  </si>
  <si>
    <t>CAQUETÁMILÁN</t>
  </si>
  <si>
    <t>CAQUETÁMORELIA</t>
  </si>
  <si>
    <t>CAQUETÁPUERTO RICO</t>
  </si>
  <si>
    <t>CAQUETÁSAN JOSÉ DEL FRAGUA</t>
  </si>
  <si>
    <t>CAQUETÁSAN VICENTE DEL CAGUÁN</t>
  </si>
  <si>
    <t>CAQUETÁSOLANO</t>
  </si>
  <si>
    <t>CAQUETÁSOLITA</t>
  </si>
  <si>
    <t>CAQUETÁVALPARAÍSO</t>
  </si>
  <si>
    <t>CAUCAPOPAYÁN</t>
  </si>
  <si>
    <t>CAUCAALMAGUER</t>
  </si>
  <si>
    <t>CAUCAARGELIA</t>
  </si>
  <si>
    <t>CAUCABALBOA</t>
  </si>
  <si>
    <t>CAUCABOLÍVAR</t>
  </si>
  <si>
    <t>CAUCABUENOS AIRES</t>
  </si>
  <si>
    <t>CAUCACAJIBÍO</t>
  </si>
  <si>
    <t>CAUCACALDONO</t>
  </si>
  <si>
    <t>CAUCACALOTO</t>
  </si>
  <si>
    <t>CAUCACORINTO</t>
  </si>
  <si>
    <t>CAUCAEL TAMBO</t>
  </si>
  <si>
    <t>CAUCAFLORENCIA</t>
  </si>
  <si>
    <t>CAUCAGUACHENÉ</t>
  </si>
  <si>
    <t>CAUCAGUAPI</t>
  </si>
  <si>
    <t>CAUCAINZÁ</t>
  </si>
  <si>
    <t>CAUCAJAMBALÓ</t>
  </si>
  <si>
    <t>CAUCALA SIERRA</t>
  </si>
  <si>
    <t>CAUCALA VEGA</t>
  </si>
  <si>
    <t>CAUCALÓPEZ DE MICAY</t>
  </si>
  <si>
    <t>CAUCAMERCADERES</t>
  </si>
  <si>
    <t>CAUCAMIRANDA</t>
  </si>
  <si>
    <t>CAUCAMORALES</t>
  </si>
  <si>
    <t>CAUCAPADILLA</t>
  </si>
  <si>
    <t>CAUCAPÁEZ</t>
  </si>
  <si>
    <t>CAUCAPATÍA</t>
  </si>
  <si>
    <t>CAUCAPIAMONTE</t>
  </si>
  <si>
    <t>CAUCAPIENDAMÓ - TUNÍA</t>
  </si>
  <si>
    <t>CAUCAPUERTO TEJADA</t>
  </si>
  <si>
    <t>CAUCAPURACÉ</t>
  </si>
  <si>
    <t>CAUCAROSAS</t>
  </si>
  <si>
    <t>CAUCASAN SEBASTIÁN</t>
  </si>
  <si>
    <t>CAUCASANTANDER DE QUILICHAO</t>
  </si>
  <si>
    <t>CAUCASANTA ROSA</t>
  </si>
  <si>
    <t>CAUCASILVIA</t>
  </si>
  <si>
    <t>CAUCASOTARÁ PAISPAMBA</t>
  </si>
  <si>
    <t>CAUCASUÁREZ</t>
  </si>
  <si>
    <t>CAUCASUCRE</t>
  </si>
  <si>
    <t>CAUCATIMBÍO</t>
  </si>
  <si>
    <t>CAUCATIMBIQUÍ</t>
  </si>
  <si>
    <t>CAUCATORIBÍO</t>
  </si>
  <si>
    <t>CAUCATOTORÓ</t>
  </si>
  <si>
    <t>CAUCAVILLA RICA</t>
  </si>
  <si>
    <t>CESARVALLEDUPAR</t>
  </si>
  <si>
    <t>CESARAGUACHICA</t>
  </si>
  <si>
    <t>CESARAGUSTÍN CODAZZI</t>
  </si>
  <si>
    <t>CESARASTREA</t>
  </si>
  <si>
    <t>CESARBECERRIL</t>
  </si>
  <si>
    <t>CESARBOSCONIA</t>
  </si>
  <si>
    <t>CESARCHIMICHAGUA</t>
  </si>
  <si>
    <t>CESARCHIRIGUANÁ</t>
  </si>
  <si>
    <t>CESARCURUMANÍ</t>
  </si>
  <si>
    <t>CESAREL COPEY</t>
  </si>
  <si>
    <t>CESAREL PASO</t>
  </si>
  <si>
    <t>CESARGAMARRA</t>
  </si>
  <si>
    <t>CESARGONZÁLEZ</t>
  </si>
  <si>
    <t>CESARLA GLORIA</t>
  </si>
  <si>
    <t>CESARLA JAGUA DE IBIRICO</t>
  </si>
  <si>
    <t>CESARMANAURE BALCÓN DEL CESAR</t>
  </si>
  <si>
    <t>CESARPAILITAS</t>
  </si>
  <si>
    <t>CESARPELAYA</t>
  </si>
  <si>
    <t>CESARPUEBLO BELLO</t>
  </si>
  <si>
    <t>CESARRÍO DE ORO</t>
  </si>
  <si>
    <t>CESARLA PAZ</t>
  </si>
  <si>
    <t>CESARSAN ALBERTO</t>
  </si>
  <si>
    <t>CESARSAN DIEGO</t>
  </si>
  <si>
    <t>CESARSAN MARTÍN</t>
  </si>
  <si>
    <t>CESARTAMALAMEQUE</t>
  </si>
  <si>
    <t>CÓRDOBAMONTERÍA</t>
  </si>
  <si>
    <t>CÓRDOBAAYAPEL</t>
  </si>
  <si>
    <t>CÓRDOBABUENAVISTA</t>
  </si>
  <si>
    <t>CÓRDOBACANALETE</t>
  </si>
  <si>
    <t>CÓRDOBACERETÉ</t>
  </si>
  <si>
    <t>CÓRDOBACHIMÁ</t>
  </si>
  <si>
    <t>CÓRDOBACHINÚ</t>
  </si>
  <si>
    <t>CÓRDOBACIÉNAGA DE ORO</t>
  </si>
  <si>
    <t>CÓRDOBACOTORRA</t>
  </si>
  <si>
    <t>CÓRDOBALA APARTADA</t>
  </si>
  <si>
    <t>CÓRDOBALORICA</t>
  </si>
  <si>
    <t>CÓRDOBALOS CÓRDOBAS</t>
  </si>
  <si>
    <t>CÓRDOBAMOMIL</t>
  </si>
  <si>
    <t>CÓRDOBAMONTELÍBANO</t>
  </si>
  <si>
    <t>CÓRDOBAMOÑITOS</t>
  </si>
  <si>
    <t>CÓRDOBAPLANETA RICA</t>
  </si>
  <si>
    <t>CÓRDOBAPUEBLO NUEVO</t>
  </si>
  <si>
    <t>CÓRDOBAPUERTO ESCONDIDO</t>
  </si>
  <si>
    <t>CÓRDOBAPUERTO LIBERTADOR</t>
  </si>
  <si>
    <t>CÓRDOBAPURÍSIMA DE LA CONCEPCIÓN</t>
  </si>
  <si>
    <t>CÓRDOBASAHAGÚN</t>
  </si>
  <si>
    <t>CÓRDOBASAN ANDRÉS DE SOTAVENTO</t>
  </si>
  <si>
    <t>CÓRDOBASAN ANTERO</t>
  </si>
  <si>
    <t>CÓRDOBASAN BERNARDO DEL VIENTO</t>
  </si>
  <si>
    <t>CÓRDOBASAN CARLOS</t>
  </si>
  <si>
    <t>CÓRDOBASAN JOSÉ DE URÉ</t>
  </si>
  <si>
    <t>CÓRDOBASAN PELAYO</t>
  </si>
  <si>
    <t>CÓRDOBATIERRALTA</t>
  </si>
  <si>
    <t>CÓRDOBATUCHÍN</t>
  </si>
  <si>
    <t>CÓRDOBAVALENCIA</t>
  </si>
  <si>
    <t>CUNDINAMARCAAGUA DE DIOS</t>
  </si>
  <si>
    <t>CUNDINAMARCAALBÁN</t>
  </si>
  <si>
    <t>CUNDINAMARCAANAPOIMA</t>
  </si>
  <si>
    <t>CUNDINAMARCAANOLAIMA</t>
  </si>
  <si>
    <t>CUNDINAMARCAARBELÁEZ</t>
  </si>
  <si>
    <t>CUNDINAMARCABELTRÁN</t>
  </si>
  <si>
    <t>CUNDINAMARCABITUIMA</t>
  </si>
  <si>
    <t>CUNDINAMARCABOJACÁ</t>
  </si>
  <si>
    <t>CUNDINAMARCACABRERA</t>
  </si>
  <si>
    <t>CUNDINAMARCACACHIPAY</t>
  </si>
  <si>
    <t>CUNDINAMARCACAJICÁ</t>
  </si>
  <si>
    <t>CUNDINAMARCACAPARRAPÍ</t>
  </si>
  <si>
    <t>CUNDINAMARCACÁQUEZA</t>
  </si>
  <si>
    <t>CUNDINAMARCACARMEN DE CARUPA</t>
  </si>
  <si>
    <t>CUNDINAMARCACHAGUANÍ</t>
  </si>
  <si>
    <t>CUNDINAMARCACHÍA</t>
  </si>
  <si>
    <t>CUNDINAMARCACHIPAQUE</t>
  </si>
  <si>
    <t>CUNDINAMARCACHOACHÍ</t>
  </si>
  <si>
    <t>CUNDINAMARCACHOCONTÁ</t>
  </si>
  <si>
    <t>CUNDINAMARCACOGUA</t>
  </si>
  <si>
    <t>CUNDINAMARCACOTA</t>
  </si>
  <si>
    <t>CUNDINAMARCACUCUNUBÁ</t>
  </si>
  <si>
    <t>CUNDINAMARCAEL COLEGIO</t>
  </si>
  <si>
    <t>CUNDINAMARCAEL PEÑÓN</t>
  </si>
  <si>
    <t>CUNDINAMARCAEL ROSAL</t>
  </si>
  <si>
    <t>CUNDINAMARCAFACATATIVÁ</t>
  </si>
  <si>
    <t>CUNDINAMARCAFÓMEQUE</t>
  </si>
  <si>
    <t>CUNDINAMARCAFOSCA</t>
  </si>
  <si>
    <t>CUNDINAMARCAFUNZA</t>
  </si>
  <si>
    <t>CUNDINAMARCAFÚQUENE</t>
  </si>
  <si>
    <t>CUNDINAMARCAFUSAGASUGÁ</t>
  </si>
  <si>
    <t>CUNDINAMARCAGACHALÁ</t>
  </si>
  <si>
    <t>CUNDINAMARCAGACHANCIPÁ</t>
  </si>
  <si>
    <t>CUNDINAMARCAGACHETÁ</t>
  </si>
  <si>
    <t>CUNDINAMARCAGAMA</t>
  </si>
  <si>
    <t>CUNDINAMARCAGIRARDOT</t>
  </si>
  <si>
    <t>CUNDINAMARCAGRANADA</t>
  </si>
  <si>
    <t>CUNDINAMARCAGUACHETÁ</t>
  </si>
  <si>
    <t>CUNDINAMARCAGUADUAS</t>
  </si>
  <si>
    <t>CUNDINAMARCAGUASCA</t>
  </si>
  <si>
    <t>CUNDINAMARCAGUATAQUÍ</t>
  </si>
  <si>
    <t>CUNDINAMARCAGUATAVITA</t>
  </si>
  <si>
    <t>CUNDINAMARCAGUAYABAL DE SÍQUIMA</t>
  </si>
  <si>
    <t>CUNDINAMARCAGUAYABETAL</t>
  </si>
  <si>
    <t>CUNDINAMARCAGUTIÉRREZ</t>
  </si>
  <si>
    <t>CUNDINAMARCAJERUSALÉN</t>
  </si>
  <si>
    <t>CUNDINAMARCAJUNÍN</t>
  </si>
  <si>
    <t>CUNDINAMARCALA CALERA</t>
  </si>
  <si>
    <t>CUNDINAMARCALA MESA</t>
  </si>
  <si>
    <t>CUNDINAMARCALA PALMA</t>
  </si>
  <si>
    <t>CUNDINAMARCALA PEÑA</t>
  </si>
  <si>
    <t>CUNDINAMARCALA VEGA</t>
  </si>
  <si>
    <t>CUNDINAMARCALENGUAZAQUE</t>
  </si>
  <si>
    <t>CUNDINAMARCAMACHETÁ</t>
  </si>
  <si>
    <t>CUNDINAMARCAMADRID</t>
  </si>
  <si>
    <t>CUNDINAMARCAMANTA</t>
  </si>
  <si>
    <t>CUNDINAMARCAMEDINA</t>
  </si>
  <si>
    <t>CUNDINAMARCAMOSQUERA</t>
  </si>
  <si>
    <t>CUNDINAMARCANARIÑO</t>
  </si>
  <si>
    <t>CUNDINAMARCANEMOCÓN</t>
  </si>
  <si>
    <t>CUNDINAMARCANILO</t>
  </si>
  <si>
    <t>CUNDINAMARCANIMAIMA</t>
  </si>
  <si>
    <t>CUNDINAMARCANOCAIMA</t>
  </si>
  <si>
    <t>CUNDINAMARCAVENECIA</t>
  </si>
  <si>
    <t>CUNDINAMARCAPACHO</t>
  </si>
  <si>
    <t>CUNDINAMARCAPAIME</t>
  </si>
  <si>
    <t>CUNDINAMARCAPANDI</t>
  </si>
  <si>
    <t>CUNDINAMARCAPARATEBUENO</t>
  </si>
  <si>
    <t>CUNDINAMARCAPASCA</t>
  </si>
  <si>
    <t>CUNDINAMARCAPUERTO SALGAR</t>
  </si>
  <si>
    <t>CUNDINAMARCAPULÍ</t>
  </si>
  <si>
    <t>CUNDINAMARCAQUEBRADANEGRA</t>
  </si>
  <si>
    <t>CUNDINAMARCAQUETAME</t>
  </si>
  <si>
    <t>CUNDINAMARCAQUIPILE</t>
  </si>
  <si>
    <t>CUNDINAMARCAAPULO</t>
  </si>
  <si>
    <t>CUNDINAMARCARICAURTE</t>
  </si>
  <si>
    <t>CUNDINAMARCASAN ANTONIO DEL TEQUENDAMA</t>
  </si>
  <si>
    <t>CUNDINAMARCASAN BERNARDO</t>
  </si>
  <si>
    <t>CUNDINAMARCASAN CAYETANO</t>
  </si>
  <si>
    <t>CUNDINAMARCASAN FRANCISCO</t>
  </si>
  <si>
    <t>CUNDINAMARCASAN JUAN DE RIOSECO</t>
  </si>
  <si>
    <t>CUNDINAMARCASASAIMA</t>
  </si>
  <si>
    <t>CUNDINAMARCASESQUILÉ</t>
  </si>
  <si>
    <t>CUNDINAMARCASIBATÉ</t>
  </si>
  <si>
    <t>CUNDINAMARCASILVANIA</t>
  </si>
  <si>
    <t>CUNDINAMARCASIMIJACA</t>
  </si>
  <si>
    <t>CUNDINAMARCASOACHA</t>
  </si>
  <si>
    <t>CUNDINAMARCASOPÓ</t>
  </si>
  <si>
    <t>CUNDINAMARCASUBACHOQUE</t>
  </si>
  <si>
    <t>CUNDINAMARCASUESCA</t>
  </si>
  <si>
    <t>CUNDINAMARCASUPATÁ</t>
  </si>
  <si>
    <t>CUNDINAMARCASUSA</t>
  </si>
  <si>
    <t>CUNDINAMARCASUTATAUSA</t>
  </si>
  <si>
    <t>CUNDINAMARCATABIO</t>
  </si>
  <si>
    <t>CUNDINAMARCATAUSA</t>
  </si>
  <si>
    <t>CUNDINAMARCATENA</t>
  </si>
  <si>
    <t>CUNDINAMARCATENJO</t>
  </si>
  <si>
    <t>CUNDINAMARCATIBACUY</t>
  </si>
  <si>
    <t>CUNDINAMARCATIBIRITA</t>
  </si>
  <si>
    <t>CUNDINAMARCATOCAIMA</t>
  </si>
  <si>
    <t>CUNDINAMARCATOCANCIPÁ</t>
  </si>
  <si>
    <t>CUNDINAMARCATOPAIPÍ</t>
  </si>
  <si>
    <t>CUNDINAMARCAUBALÁ</t>
  </si>
  <si>
    <t>CUNDINAMARCAUBAQUE</t>
  </si>
  <si>
    <t>CUNDINAMARCAVILLA DE SAN DIEGO DE UBATÉ</t>
  </si>
  <si>
    <t>CUNDINAMARCAUNE</t>
  </si>
  <si>
    <t>CUNDINAMARCAÚTICA</t>
  </si>
  <si>
    <t>CUNDINAMARCAVERGARA</t>
  </si>
  <si>
    <t>CUNDINAMARCAVIANÍ</t>
  </si>
  <si>
    <t>CUNDINAMARCAVILLAGÓMEZ</t>
  </si>
  <si>
    <t>CUNDINAMARCAVILLAPINZÓN</t>
  </si>
  <si>
    <t>CUNDINAMARCAVILLETA</t>
  </si>
  <si>
    <t>CUNDINAMARCAVIOTÁ</t>
  </si>
  <si>
    <t>CUNDINAMARCAYACOPÍ</t>
  </si>
  <si>
    <t>CUNDINAMARCAZIPACÓN</t>
  </si>
  <si>
    <t>CUNDINAMARCAZIPAQUIRÁ</t>
  </si>
  <si>
    <t>CHOCÓQUIBDÓ</t>
  </si>
  <si>
    <t>CHOCÓACANDÍ</t>
  </si>
  <si>
    <t>CHOCÓALTO BAUDÓ</t>
  </si>
  <si>
    <t>CHOCÓATRATO</t>
  </si>
  <si>
    <t>CHOCÓBAGADÓ</t>
  </si>
  <si>
    <t>CHOCÓBAHÍA SOLANO</t>
  </si>
  <si>
    <t>CHOCÓBAJO BAUDÓ</t>
  </si>
  <si>
    <t>CHOCÓBOJAYÁ</t>
  </si>
  <si>
    <t>CHOCÓEL CANTÓN DEL SAN PABLO</t>
  </si>
  <si>
    <t>CHOCÓCARMEN DEL DARIÉN</t>
  </si>
  <si>
    <t>CHOCÓCÉRTEGUI</t>
  </si>
  <si>
    <t>CHOCÓCONDOTO</t>
  </si>
  <si>
    <t>CHOCÓEL CARMEN DE ATRATO</t>
  </si>
  <si>
    <t>CHOCÓEL LITORAL DEL SAN JUAN</t>
  </si>
  <si>
    <t>CHOCÓISTMINA</t>
  </si>
  <si>
    <t>CHOCÓJURADÓ</t>
  </si>
  <si>
    <t>CHOCÓLLORÓ</t>
  </si>
  <si>
    <t>CHOCÓMEDIO ATRATO</t>
  </si>
  <si>
    <t>CHOCÓMEDIO BAUDÓ</t>
  </si>
  <si>
    <t>CHOCÓMEDIO SAN JUAN</t>
  </si>
  <si>
    <t>CHOCÓNÓVITA</t>
  </si>
  <si>
    <t>CHOCÓNUQUÍ</t>
  </si>
  <si>
    <t>CHOCÓRÍO IRÓ</t>
  </si>
  <si>
    <t>CHOCÓRÍO QUITO</t>
  </si>
  <si>
    <t>CHOCÓRIOSUCIO</t>
  </si>
  <si>
    <t>CHOCÓSAN JOSÉ DEL PALMAR</t>
  </si>
  <si>
    <t>CHOCÓSIPÍ</t>
  </si>
  <si>
    <t>CHOCÓTADÓ</t>
  </si>
  <si>
    <t>CHOCÓUNGUÍA</t>
  </si>
  <si>
    <t>CHOCÓUNIÓN PANAMERICANA</t>
  </si>
  <si>
    <t>HUILANEIVA</t>
  </si>
  <si>
    <t>HUILAACEVEDO</t>
  </si>
  <si>
    <t>HUILAAGRADO</t>
  </si>
  <si>
    <t>HUILAAIPE</t>
  </si>
  <si>
    <t>HUILAALGECIRAS</t>
  </si>
  <si>
    <t>HUILAALTAMIRA</t>
  </si>
  <si>
    <t>HUILABARAYA</t>
  </si>
  <si>
    <t>HUILACAMPOALEGRE</t>
  </si>
  <si>
    <t>HUILACOLOMBIA</t>
  </si>
  <si>
    <t>HUILAELÍAS</t>
  </si>
  <si>
    <t>HUILAGARZÓN</t>
  </si>
  <si>
    <t>HUILAGIGANTE</t>
  </si>
  <si>
    <t>HUILAGUADALUPE</t>
  </si>
  <si>
    <t>HUILAHOBO</t>
  </si>
  <si>
    <t>HUILAÍQUIRA</t>
  </si>
  <si>
    <t>HUILAISNOS</t>
  </si>
  <si>
    <t>HUILALA ARGENTINA</t>
  </si>
  <si>
    <t>HUILALA PLATA</t>
  </si>
  <si>
    <t>HUILANÁTAGA</t>
  </si>
  <si>
    <t>HUILAOPORAPA</t>
  </si>
  <si>
    <t>HUILAPAICOL</t>
  </si>
  <si>
    <t>HUILAPALERMO</t>
  </si>
  <si>
    <t>HUILAPALESTINA</t>
  </si>
  <si>
    <t>HUILAPITAL</t>
  </si>
  <si>
    <t>HUILAPITALITO</t>
  </si>
  <si>
    <t>HUILARIVERA</t>
  </si>
  <si>
    <t>HUILASALADOBLANCO</t>
  </si>
  <si>
    <t>HUILASAN AGUSTÍN</t>
  </si>
  <si>
    <t>HUILASANTA MARÍA</t>
  </si>
  <si>
    <t>HUILASUAZA</t>
  </si>
  <si>
    <t>HUILATARQUI</t>
  </si>
  <si>
    <t>HUILATESALIA</t>
  </si>
  <si>
    <t>HUILATELLO</t>
  </si>
  <si>
    <t>HUILATERUEL</t>
  </si>
  <si>
    <t>HUILATIMANÁ</t>
  </si>
  <si>
    <t>HUILAVILLAVIEJA</t>
  </si>
  <si>
    <t>HUILAYAGUARÁ</t>
  </si>
  <si>
    <t>LA GUAJIRA</t>
  </si>
  <si>
    <t>LA GUAJIRARIOHACHA</t>
  </si>
  <si>
    <t>LA GUAJIRAALBANIA</t>
  </si>
  <si>
    <t>LA GUAJIRABARRANCAS</t>
  </si>
  <si>
    <t>LA GUAJIRADIBULLA</t>
  </si>
  <si>
    <t>LA GUAJIRADISTRACCIÓN</t>
  </si>
  <si>
    <t>LA GUAJIRAEL MOLINO</t>
  </si>
  <si>
    <t>LA GUAJIRAFONSECA</t>
  </si>
  <si>
    <t>LA GUAJIRAHATONUEVO</t>
  </si>
  <si>
    <t>LA GUAJIRALA JAGUA DEL PILAR</t>
  </si>
  <si>
    <t>LA GUAJIRAMAICAO</t>
  </si>
  <si>
    <t>LA GUAJIRAMANAURE</t>
  </si>
  <si>
    <t>LA GUAJIRASAN JUAN DEL CESAR</t>
  </si>
  <si>
    <t>LA GUAJIRAURIBIA</t>
  </si>
  <si>
    <t>LA GUAJIRAURUMITA</t>
  </si>
  <si>
    <t>LA GUAJIRAVILLANUEVA</t>
  </si>
  <si>
    <t>MAGDALENASANTA MARTA</t>
  </si>
  <si>
    <t>MAGDALENAALGARROBO</t>
  </si>
  <si>
    <t>MAGDALENAARACATACA</t>
  </si>
  <si>
    <t>MAGDALENAARIGUANÍ</t>
  </si>
  <si>
    <t>MAGDALENACERRO DE SAN ANTONIO</t>
  </si>
  <si>
    <t>MAGDALENACHIVOLO</t>
  </si>
  <si>
    <t>MAGDALENACIÉNAGA</t>
  </si>
  <si>
    <t>MAGDALENACONCORDIA</t>
  </si>
  <si>
    <t>MAGDALENAEL BANCO</t>
  </si>
  <si>
    <t>MAGDALENAEL PIÑÓN</t>
  </si>
  <si>
    <t>MAGDALENAEL RETÉN</t>
  </si>
  <si>
    <t>MAGDALENAFUNDACIÓN</t>
  </si>
  <si>
    <t>MAGDALENAGUAMAL</t>
  </si>
  <si>
    <t>MAGDALENANUEVA GRANADA</t>
  </si>
  <si>
    <t>MAGDALENAPEDRAZA</t>
  </si>
  <si>
    <t>MAGDALENAPIJIÑO DEL CARMEN</t>
  </si>
  <si>
    <t>MAGDALENAPIVIJAY</t>
  </si>
  <si>
    <t>MAGDALENAPLATO</t>
  </si>
  <si>
    <t>MAGDALENAPUEBLOVIEJO</t>
  </si>
  <si>
    <t>MAGDALENAREMOLINO</t>
  </si>
  <si>
    <t>MAGDALENASABANAS DE SAN ÁNGEL</t>
  </si>
  <si>
    <t>MAGDALENASALAMINA</t>
  </si>
  <si>
    <t>MAGDALENASAN SEBASTIÁN DE BUENAVISTA</t>
  </si>
  <si>
    <t>MAGDALENASAN ZENÓN</t>
  </si>
  <si>
    <t>MAGDALENASANTA ANA</t>
  </si>
  <si>
    <t>MAGDALENASANTA BÁRBARA DE PINTO</t>
  </si>
  <si>
    <t>MAGDALENASITIONUEVO</t>
  </si>
  <si>
    <t>MAGDALENATENERIFE</t>
  </si>
  <si>
    <t>MAGDALENAZAPAYÁN</t>
  </si>
  <si>
    <t>MAGDALENAZONA BANANERA</t>
  </si>
  <si>
    <t>METAVILLAVICENCIO</t>
  </si>
  <si>
    <t>METAACACÍAS</t>
  </si>
  <si>
    <t>METABARRANCA DE UPÍA</t>
  </si>
  <si>
    <t>METACABUYARO</t>
  </si>
  <si>
    <t>METACASTILLA LA NUEVA</t>
  </si>
  <si>
    <t>METACUBARRAL</t>
  </si>
  <si>
    <t>METACUMARAL</t>
  </si>
  <si>
    <t>METAEL CALVARIO</t>
  </si>
  <si>
    <t>METAEL CASTILLO</t>
  </si>
  <si>
    <t>METAEL DORADO</t>
  </si>
  <si>
    <t>METAFUENTE DE ORO</t>
  </si>
  <si>
    <t>METAGRANADA</t>
  </si>
  <si>
    <t>METAGUAMAL</t>
  </si>
  <si>
    <t>METAMAPIRIPÁN</t>
  </si>
  <si>
    <t>METAMESETAS</t>
  </si>
  <si>
    <t>METALA MACARENA</t>
  </si>
  <si>
    <t>METAURIBE</t>
  </si>
  <si>
    <t>METALEJANÍAS</t>
  </si>
  <si>
    <t>METAPUERTO CONCORDIA</t>
  </si>
  <si>
    <t>METAPUERTO GAITÁN</t>
  </si>
  <si>
    <t>METAPUERTO LÓPEZ</t>
  </si>
  <si>
    <t>METAPUERTO LLERAS</t>
  </si>
  <si>
    <t>METAPUERTO RICO</t>
  </si>
  <si>
    <t>METARESTREPO</t>
  </si>
  <si>
    <t>METASAN CARLOS DE GUAROA</t>
  </si>
  <si>
    <t>METASAN JUAN DE ARAMA</t>
  </si>
  <si>
    <t>METASAN JUANITO</t>
  </si>
  <si>
    <t>METASAN MARTÍN</t>
  </si>
  <si>
    <t>METAVISTAHERMOSA</t>
  </si>
  <si>
    <t>NARIÑOPASTO</t>
  </si>
  <si>
    <t>NARIÑOALBÁN</t>
  </si>
  <si>
    <t>NARIÑOALDANA</t>
  </si>
  <si>
    <t>NARIÑOANCUYA</t>
  </si>
  <si>
    <t>NARIÑOARBOLEDA</t>
  </si>
  <si>
    <t>NARIÑOBARBACOAS</t>
  </si>
  <si>
    <t>NARIÑOBELÉN</t>
  </si>
  <si>
    <t>NARIÑOBUESACO</t>
  </si>
  <si>
    <t>NARIÑOCOLÓN</t>
  </si>
  <si>
    <t>NARIÑOCONSACÁ</t>
  </si>
  <si>
    <t>NARIÑOCONTADERO</t>
  </si>
  <si>
    <t>NARIÑOCÓRDOBA</t>
  </si>
  <si>
    <t>NARIÑOCUASPUD CARLOSAMA</t>
  </si>
  <si>
    <t>NARIÑOCUMBAL</t>
  </si>
  <si>
    <t>NARIÑOCUMBITARA</t>
  </si>
  <si>
    <t>NARIÑOCHACHAGÜÍ</t>
  </si>
  <si>
    <t>NARIÑOEL CHARCO</t>
  </si>
  <si>
    <t>NARIÑOEL PEÑOL</t>
  </si>
  <si>
    <t>NARIÑOEL ROSARIO</t>
  </si>
  <si>
    <t>NARIÑOEL TABLÓN DE GÓMEZ</t>
  </si>
  <si>
    <t>NARIÑOEL TAMBO</t>
  </si>
  <si>
    <t>NARIÑOFUNES</t>
  </si>
  <si>
    <t>NARIÑOGUACHUCAL</t>
  </si>
  <si>
    <t>NARIÑOGUAITARILLA</t>
  </si>
  <si>
    <t>NARIÑOGUALMATÁN</t>
  </si>
  <si>
    <t>NARIÑOILES</t>
  </si>
  <si>
    <t>NARIÑOIMUÉS</t>
  </si>
  <si>
    <t>NARIÑOIPIALES</t>
  </si>
  <si>
    <t>NARIÑOLA CRUZ</t>
  </si>
  <si>
    <t>NARIÑOLA FLORIDA</t>
  </si>
  <si>
    <t>NARIÑOLA LLANADA</t>
  </si>
  <si>
    <t>NARIÑOLA TOLA</t>
  </si>
  <si>
    <t>NARIÑOLA UNIÓN</t>
  </si>
  <si>
    <t>NARIÑOLEIVA</t>
  </si>
  <si>
    <t>NARIÑOLINARES</t>
  </si>
  <si>
    <t>NARIÑOLOS ANDES</t>
  </si>
  <si>
    <t>NARIÑOMAGÜÍ</t>
  </si>
  <si>
    <t>NARIÑOMALLAMA</t>
  </si>
  <si>
    <t>NARIÑOMOSQUERA</t>
  </si>
  <si>
    <t>NARIÑONARIÑO</t>
  </si>
  <si>
    <t>NARIÑOOLAYA HERRERA</t>
  </si>
  <si>
    <t>NARIÑOOSPINA</t>
  </si>
  <si>
    <t>NARIÑOFRANCISCO PIZARRO</t>
  </si>
  <si>
    <t>NARIÑOPOLICARPA</t>
  </si>
  <si>
    <t>NARIÑOPOTOSÍ</t>
  </si>
  <si>
    <t>NARIÑOPROVIDENCIA</t>
  </si>
  <si>
    <t>NARIÑOPUERRES</t>
  </si>
  <si>
    <t>NARIÑOPUPIALES</t>
  </si>
  <si>
    <t>NARIÑORICAURTE</t>
  </si>
  <si>
    <t>NARIÑOROBERTO PAYÁN</t>
  </si>
  <si>
    <t>NARIÑOSAMANIEGO</t>
  </si>
  <si>
    <t>NARIÑOSANDONÁ</t>
  </si>
  <si>
    <t>NARIÑOSAN BERNARDO</t>
  </si>
  <si>
    <t>NARIÑOSAN LORENZO</t>
  </si>
  <si>
    <t>NARIÑOSAN PABLO</t>
  </si>
  <si>
    <t>NARIÑOSAN PEDRO DE CARTAGO</t>
  </si>
  <si>
    <t>NARIÑOSANTA BÁRBARA</t>
  </si>
  <si>
    <t>NARIÑOSANTACRUZ</t>
  </si>
  <si>
    <t>NARIÑOSAPUYES</t>
  </si>
  <si>
    <t>NARIÑOTAMINANGO</t>
  </si>
  <si>
    <t>NARIÑOTANGUA</t>
  </si>
  <si>
    <t>NARIÑOSAN ANDRÉS DE TUMACO</t>
  </si>
  <si>
    <t>NARIÑOTÚQUERRES</t>
  </si>
  <si>
    <t>NARIÑOYACUANQUER</t>
  </si>
  <si>
    <t>NORTE DE SANTANDER</t>
  </si>
  <si>
    <t>NORTE DE SANTANDERSAN JOSÉ DE CÚCUTA</t>
  </si>
  <si>
    <t>NORTE DE SANTANDERÁBREGO</t>
  </si>
  <si>
    <t>NORTE DE SANTANDERARBOLEDAS</t>
  </si>
  <si>
    <t>NORTE DE SANTANDERBOCHALEMA</t>
  </si>
  <si>
    <t>NORTE DE SANTANDERBUCARASICA</t>
  </si>
  <si>
    <t>NORTE DE SANTANDERCÁCOTA</t>
  </si>
  <si>
    <t>NORTE DE SANTANDERCÁCHIRA</t>
  </si>
  <si>
    <t>NORTE DE SANTANDERCHINÁCOTA</t>
  </si>
  <si>
    <t>NORTE DE SANTANDERCHITAGÁ</t>
  </si>
  <si>
    <t>NORTE DE SANTANDERCONVENCIÓN</t>
  </si>
  <si>
    <t>NORTE DE SANTANDERCUCUTILLA</t>
  </si>
  <si>
    <t>NORTE DE SANTANDERDURANIA</t>
  </si>
  <si>
    <t>NORTE DE SANTANDEREL CARMEN</t>
  </si>
  <si>
    <t>NORTE DE SANTANDEREL TARRA</t>
  </si>
  <si>
    <t>NORTE DE SANTANDEREL ZULIA</t>
  </si>
  <si>
    <t>NORTE DE SANTANDERGRAMALOTE</t>
  </si>
  <si>
    <t>NORTE DE SANTANDERHACARÍ</t>
  </si>
  <si>
    <t>NORTE DE SANTANDERHERRÁN</t>
  </si>
  <si>
    <t>NORTE DE SANTANDERLABATECA</t>
  </si>
  <si>
    <t>NORTE DE SANTANDERLA ESPERANZA</t>
  </si>
  <si>
    <t>NORTE DE SANTANDERLA PLAYA</t>
  </si>
  <si>
    <t>NORTE DE SANTANDERLOS PATIOS</t>
  </si>
  <si>
    <t>NORTE DE SANTANDERLOURDES</t>
  </si>
  <si>
    <t>NORTE DE SANTANDERMUTISCUA</t>
  </si>
  <si>
    <t>NORTE DE SANTANDEROCAÑA</t>
  </si>
  <si>
    <t>NORTE DE SANTANDERPAMPLONA</t>
  </si>
  <si>
    <t>NORTE DE SANTANDERPAMPLONITA</t>
  </si>
  <si>
    <t>NORTE DE SANTANDERPUERTO SANTANDER</t>
  </si>
  <si>
    <t>NORTE DE SANTANDERRAGONVALIA</t>
  </si>
  <si>
    <t>NORTE DE SANTANDERSALAZAR</t>
  </si>
  <si>
    <t>NORTE DE SANTANDERSAN CALIXTO</t>
  </si>
  <si>
    <t>NORTE DE SANTANDERSAN CAYETANO</t>
  </si>
  <si>
    <t>NORTE DE SANTANDERSANTIAGO</t>
  </si>
  <si>
    <t>NORTE DE SANTANDERSARDINATA</t>
  </si>
  <si>
    <t>NORTE DE SANTANDERSILOS</t>
  </si>
  <si>
    <t>NORTE DE SANTANDERTEORAMA</t>
  </si>
  <si>
    <t>NORTE DE SANTANDERTIBÚ</t>
  </si>
  <si>
    <t>NORTE DE SANTANDERTOLEDO</t>
  </si>
  <si>
    <t>NORTE DE SANTANDERVILLA CARO</t>
  </si>
  <si>
    <t>NORTE DE SANTANDERVILLA DEL ROSARIO</t>
  </si>
  <si>
    <t>QUINDÍOARMENIA</t>
  </si>
  <si>
    <t>QUINDÍOBUENAVISTA</t>
  </si>
  <si>
    <t>QUINDÍOCALARCÁ</t>
  </si>
  <si>
    <t>QUINDÍOCIRCASIA</t>
  </si>
  <si>
    <t>QUINDÍOCÓRDOBA</t>
  </si>
  <si>
    <t>QUINDÍOFILANDIA</t>
  </si>
  <si>
    <t>QUINDÍOGÉNOVA</t>
  </si>
  <si>
    <t>QUINDÍOLA TEBAIDA</t>
  </si>
  <si>
    <t>QUINDÍOMONTENEGRO</t>
  </si>
  <si>
    <t>QUINDÍOPIJAO</t>
  </si>
  <si>
    <t>QUINDÍOQUIMBAYA</t>
  </si>
  <si>
    <t>QUINDÍOSALENTO</t>
  </si>
  <si>
    <t>RISARALDAPEREIRA</t>
  </si>
  <si>
    <t>RISARALDAAPÍA</t>
  </si>
  <si>
    <t>RISARALDABALBOA</t>
  </si>
  <si>
    <t>RISARALDABELÉN DE UMBRÍA</t>
  </si>
  <si>
    <t>RISARALDADOSQUEBRADAS</t>
  </si>
  <si>
    <t>RISARALDAGUÁTICA</t>
  </si>
  <si>
    <t>RISARALDALA CELIA</t>
  </si>
  <si>
    <t>RISARALDALA VIRGINIA</t>
  </si>
  <si>
    <t>RISARALDAMARSELLA</t>
  </si>
  <si>
    <t>RISARALDAMISTRATÓ</t>
  </si>
  <si>
    <t>RISARALDAPUEBLO RICO</t>
  </si>
  <si>
    <t>RISARALDAQUINCHÍA</t>
  </si>
  <si>
    <t>RISARALDASANTA ROSA DE CABAL</t>
  </si>
  <si>
    <t>RISARALDASANTUARIO</t>
  </si>
  <si>
    <t>SANTANDERBUCARAMANGA</t>
  </si>
  <si>
    <t>SANTANDERAGUADA</t>
  </si>
  <si>
    <t>SANTANDERALBANIA</t>
  </si>
  <si>
    <t>SANTANDERARATOCA</t>
  </si>
  <si>
    <t>SANTANDERBARBOSA</t>
  </si>
  <si>
    <t>SANTANDERBARICHARA</t>
  </si>
  <si>
    <t>SANTANDERBARRANCABERMEJA</t>
  </si>
  <si>
    <t>SANTANDERBETULIA</t>
  </si>
  <si>
    <t>SANTANDERBOLÍVAR</t>
  </si>
  <si>
    <t>SANTANDERCABRERA</t>
  </si>
  <si>
    <t>SANTANDERCALIFORNIA</t>
  </si>
  <si>
    <t>SANTANDERCAPITANEJO</t>
  </si>
  <si>
    <t>SANTANDERCARCASÍ</t>
  </si>
  <si>
    <t>SANTANDERCEPITÁ</t>
  </si>
  <si>
    <t>SANTANDERCERRITO</t>
  </si>
  <si>
    <t>SANTANDERCHARALÁ</t>
  </si>
  <si>
    <t>SANTANDERCHARTA</t>
  </si>
  <si>
    <t>SANTANDERCHIMA</t>
  </si>
  <si>
    <t>SANTANDERCHIPATÁ</t>
  </si>
  <si>
    <t>SANTANDERCIMITARRA</t>
  </si>
  <si>
    <t>SANTANDERCONCEPCIÓN</t>
  </si>
  <si>
    <t>SANTANDERCONFINES</t>
  </si>
  <si>
    <t>SANTANDERCONTRATACIÓN</t>
  </si>
  <si>
    <t>SANTANDERCOROMORO</t>
  </si>
  <si>
    <t>SANTANDERCURITÍ</t>
  </si>
  <si>
    <t>SANTANDEREL CARMEN DE CHUCURÍ</t>
  </si>
  <si>
    <t>SANTANDEREL GUACAMAYO</t>
  </si>
  <si>
    <t>SANTANDEREL PEÑÓN</t>
  </si>
  <si>
    <t>SANTANDEREL PLAYÓN</t>
  </si>
  <si>
    <t>SANTANDERENCINO</t>
  </si>
  <si>
    <t>SANTANDERENCISO</t>
  </si>
  <si>
    <t>SANTANDERFLORIÁN</t>
  </si>
  <si>
    <t>SANTANDERFLORIDABLANCA</t>
  </si>
  <si>
    <t>SANTANDERGALÁN</t>
  </si>
  <si>
    <t>SANTANDERGÁMBITA</t>
  </si>
  <si>
    <t>SANTANDERGIRÓN</t>
  </si>
  <si>
    <t>SANTANDERGUACA</t>
  </si>
  <si>
    <t>SANTANDERGUADALUPE</t>
  </si>
  <si>
    <t>SANTANDERGUAPOTÁ</t>
  </si>
  <si>
    <t>SANTANDERGUAVATÁ</t>
  </si>
  <si>
    <t>SANTANDERGÜEPSA</t>
  </si>
  <si>
    <t>SANTANDERHATO</t>
  </si>
  <si>
    <t>SANTANDERJESÚS MARÍA</t>
  </si>
  <si>
    <t>SANTANDERJORDÁN</t>
  </si>
  <si>
    <t>SANTANDERLA BELLEZA</t>
  </si>
  <si>
    <t>SANTANDERLANDÁZURI</t>
  </si>
  <si>
    <t>SANTANDERLA PAZ</t>
  </si>
  <si>
    <t>SANTANDERLEBRIJA</t>
  </si>
  <si>
    <t>SANTANDERLOS SANTOS</t>
  </si>
  <si>
    <t>SANTANDERMACARAVITA</t>
  </si>
  <si>
    <t>SANTANDERMÁLAGA</t>
  </si>
  <si>
    <t>SANTANDERMATANZA</t>
  </si>
  <si>
    <t>SANTANDERMOGOTES</t>
  </si>
  <si>
    <t>SANTANDERMOLAGAVITA</t>
  </si>
  <si>
    <t>SANTANDEROCAMONTE</t>
  </si>
  <si>
    <t>SANTANDEROIBA</t>
  </si>
  <si>
    <t>SANTANDERONZAGA</t>
  </si>
  <si>
    <t>SANTANDERPALMAR</t>
  </si>
  <si>
    <t>SANTANDERPALMAS DEL SOCORRO</t>
  </si>
  <si>
    <t>SANTANDERPÁRAMO</t>
  </si>
  <si>
    <t>SANTANDERPIEDECUESTA</t>
  </si>
  <si>
    <t>SANTANDERPINCHOTE</t>
  </si>
  <si>
    <t>SANTANDERPUENTE NACIONAL</t>
  </si>
  <si>
    <t>SANTANDERPUERTO PARRA</t>
  </si>
  <si>
    <t>SANTANDERPUERTO WILCHES</t>
  </si>
  <si>
    <t>SANTANDERRIONEGRO</t>
  </si>
  <si>
    <t>SANTANDERSABANA DE TORRES</t>
  </si>
  <si>
    <t>SANTANDERSAN ANDRÉS</t>
  </si>
  <si>
    <t>SANTANDERSAN BENITO</t>
  </si>
  <si>
    <t>SANTANDERSAN GIL</t>
  </si>
  <si>
    <t>SANTANDERSAN JOAQUÍN</t>
  </si>
  <si>
    <t>SANTANDERSAN JOSÉ DE MIRANDA</t>
  </si>
  <si>
    <t>SANTANDERSAN MIGUEL</t>
  </si>
  <si>
    <t>SANTANDERSAN VICENTE DE CHUCURÍ</t>
  </si>
  <si>
    <t>SANTANDERSANTA BÁRBARA</t>
  </si>
  <si>
    <t>SANTANDERSANTA HELENA DEL OPÓN</t>
  </si>
  <si>
    <t>SANTANDERSIMACOTA</t>
  </si>
  <si>
    <t>SANTANDERSOCORRO</t>
  </si>
  <si>
    <t>SANTANDERSUAITA</t>
  </si>
  <si>
    <t>SANTANDERSUCRE</t>
  </si>
  <si>
    <t>SANTANDERSURATÁ</t>
  </si>
  <si>
    <t>SANTANDERTONA</t>
  </si>
  <si>
    <t>SANTANDERVALLE DE SAN JOSÉ</t>
  </si>
  <si>
    <t>SANTANDERVÉLEZ</t>
  </si>
  <si>
    <t>SANTANDERVETAS</t>
  </si>
  <si>
    <t>SANTANDERVILLANUEVA</t>
  </si>
  <si>
    <t>SANTANDERZAPATOCA</t>
  </si>
  <si>
    <t>SUCRESINCELEJO</t>
  </si>
  <si>
    <t>SUCREBUENAVISTA</t>
  </si>
  <si>
    <t>SUCRECAIMITO</t>
  </si>
  <si>
    <t>SUCRECOLOSÓ</t>
  </si>
  <si>
    <t>SUCRECOROZAL</t>
  </si>
  <si>
    <t>SUCRECOVEÑAS</t>
  </si>
  <si>
    <t>SUCRECHALÁN</t>
  </si>
  <si>
    <t>SUCREEL ROBLE</t>
  </si>
  <si>
    <t>SUCREGALERAS</t>
  </si>
  <si>
    <t>SUCREGUARANDA</t>
  </si>
  <si>
    <t>SUCRELA UNIÓN</t>
  </si>
  <si>
    <t>SUCRELOS PALMITOS</t>
  </si>
  <si>
    <t>SUCREMAJAGUAL</t>
  </si>
  <si>
    <t>SUCREMORROA</t>
  </si>
  <si>
    <t>SUCREOVEJAS</t>
  </si>
  <si>
    <t>SUCREPALMITO</t>
  </si>
  <si>
    <t>SUCRESAMPUÉS</t>
  </si>
  <si>
    <t>SUCRESAN BENITO ABAD</t>
  </si>
  <si>
    <t>SUCRESAN JUAN DE BETULIA</t>
  </si>
  <si>
    <t>SUCRESAN MARCOS</t>
  </si>
  <si>
    <t>SUCRESAN ONOFRE</t>
  </si>
  <si>
    <t>SUCRESAN PEDRO</t>
  </si>
  <si>
    <t>SUCRESAN LUIS DE SINCÉ</t>
  </si>
  <si>
    <t>SUCRESUCRE</t>
  </si>
  <si>
    <t>SUCRESANTIAGO DE TOLÚ</t>
  </si>
  <si>
    <t>SUCRESAN JOSÉ DE TOLUVIEJO</t>
  </si>
  <si>
    <t>TOLIMAIBAGUÉ</t>
  </si>
  <si>
    <t>TOLIMAALPUJARRA</t>
  </si>
  <si>
    <t>TOLIMAALVARADO</t>
  </si>
  <si>
    <t>TOLIMAAMBALEMA</t>
  </si>
  <si>
    <t>TOLIMAANZOÁTEGUI</t>
  </si>
  <si>
    <t>TOLIMAARMERO</t>
  </si>
  <si>
    <t>TOLIMAATACO</t>
  </si>
  <si>
    <t>TOLIMACAJAMARCA</t>
  </si>
  <si>
    <t>TOLIMACARMEN DE APICALÁ</t>
  </si>
  <si>
    <t>TOLIMACASABIANCA</t>
  </si>
  <si>
    <t>TOLIMACHAPARRAL</t>
  </si>
  <si>
    <t>TOLIMACOELLO</t>
  </si>
  <si>
    <t>TOLIMACOYAIMA</t>
  </si>
  <si>
    <t>TOLIMACUNDAY</t>
  </si>
  <si>
    <t>TOLIMADOLORES</t>
  </si>
  <si>
    <t>TOLIMAESPINAL</t>
  </si>
  <si>
    <t>TOLIMAFALAN</t>
  </si>
  <si>
    <t>TOLIMAFLANDES</t>
  </si>
  <si>
    <t>TOLIMAFRESNO</t>
  </si>
  <si>
    <t>TOLIMAGUAMO</t>
  </si>
  <si>
    <t>TOLIMAHERVEO</t>
  </si>
  <si>
    <t>TOLIMAHONDA</t>
  </si>
  <si>
    <t>TOLIMAICONONZO</t>
  </si>
  <si>
    <t>TOLIMALÉRIDA</t>
  </si>
  <si>
    <t>TOLIMALÍBANO</t>
  </si>
  <si>
    <t>TOLIMASAN SEBASTIÁN DE MARIQUITA</t>
  </si>
  <si>
    <t>TOLIMAMELGAR</t>
  </si>
  <si>
    <t>TOLIMAMURILLO</t>
  </si>
  <si>
    <t>TOLIMANATAGAIMA</t>
  </si>
  <si>
    <t>TOLIMAORTEGA</t>
  </si>
  <si>
    <t>TOLIMAPALOCABILDO</t>
  </si>
  <si>
    <t>TOLIMAPIEDRAS</t>
  </si>
  <si>
    <t>TOLIMAPLANADAS</t>
  </si>
  <si>
    <t>TOLIMAPRADO</t>
  </si>
  <si>
    <t>TOLIMAPURIFICACIÓN</t>
  </si>
  <si>
    <t>TOLIMARIOBLANCO</t>
  </si>
  <si>
    <t>TOLIMARONCESVALLES</t>
  </si>
  <si>
    <t>TOLIMAROVIRA</t>
  </si>
  <si>
    <t>TOLIMASALDAÑA</t>
  </si>
  <si>
    <t>TOLIMASAN ANTONIO</t>
  </si>
  <si>
    <t>TOLIMASAN LUIS</t>
  </si>
  <si>
    <t>TOLIMASANTA ISABEL</t>
  </si>
  <si>
    <t>TOLIMASUÁREZ</t>
  </si>
  <si>
    <t>TOLIMAVALLE DE SAN JUAN</t>
  </si>
  <si>
    <t>TOLIMAVENADILLO</t>
  </si>
  <si>
    <t>TOLIMAVILLAHERMOSA</t>
  </si>
  <si>
    <t>TOLIMAVILLARRICA</t>
  </si>
  <si>
    <t>VALLE DEL CAUCA</t>
  </si>
  <si>
    <t>VALLE DEL CAUCASANTIAGO DE CALI</t>
  </si>
  <si>
    <t>VALLE DEL CAUCAALCALÁ</t>
  </si>
  <si>
    <t>VALLE DEL CAUCAANDALUCÍA</t>
  </si>
  <si>
    <t>VALLE DEL CAUCAANSERMANUEVO</t>
  </si>
  <si>
    <t>VALLE DEL CAUCAARGELIA</t>
  </si>
  <si>
    <t>VALLE DEL CAUCABOLÍVAR</t>
  </si>
  <si>
    <t>VALLE DEL CAUCABUENAVENTURA</t>
  </si>
  <si>
    <t>VALLE DEL CAUCAGUADALAJARA DE BUGA</t>
  </si>
  <si>
    <t>VALLE DEL CAUCABUGALAGRANDE</t>
  </si>
  <si>
    <t>VALLE DEL CAUCACAICEDONIA</t>
  </si>
  <si>
    <t>VALLE DEL CAUCACALIMA</t>
  </si>
  <si>
    <t>VALLE DEL CAUCACANDELARIA</t>
  </si>
  <si>
    <t>VALLE DEL CAUCACARTAGO</t>
  </si>
  <si>
    <t>VALLE DEL CAUCADAGUA</t>
  </si>
  <si>
    <t>VALLE DEL CAUCAEL ÁGUILA</t>
  </si>
  <si>
    <t>VALLE DEL CAUCAEL CAIRO</t>
  </si>
  <si>
    <t>VALLE DEL CAUCAEL CERRITO</t>
  </si>
  <si>
    <t>VALLE DEL CAUCAEL DOVIO</t>
  </si>
  <si>
    <t>VALLE DEL CAUCAFLORIDA</t>
  </si>
  <si>
    <t>VALLE DEL CAUCAGINEBRA</t>
  </si>
  <si>
    <t>VALLE DEL CAUCAGUACARÍ</t>
  </si>
  <si>
    <t>VALLE DEL CAUCAJAMUNDÍ</t>
  </si>
  <si>
    <t>VALLE DEL CAUCALA CUMBRE</t>
  </si>
  <si>
    <t>VALLE DEL CAUCALA UNIÓN</t>
  </si>
  <si>
    <t>VALLE DEL CAUCALA VICTORIA</t>
  </si>
  <si>
    <t>VALLE DEL CAUCAOBANDO</t>
  </si>
  <si>
    <t>VALLE DEL CAUCAPALMIRA</t>
  </si>
  <si>
    <t>VALLE DEL CAUCAPRADERA</t>
  </si>
  <si>
    <t>VALLE DEL CAUCARESTREPO</t>
  </si>
  <si>
    <t>VALLE DEL CAUCARIOFRÍO</t>
  </si>
  <si>
    <t>VALLE DEL CAUCAROLDANILLO</t>
  </si>
  <si>
    <t>VALLE DEL CAUCASAN PEDRO</t>
  </si>
  <si>
    <t>VALLE DEL CAUCASEVILLA</t>
  </si>
  <si>
    <t>VALLE DEL CAUCATORO</t>
  </si>
  <si>
    <t>VALLE DEL CAUCATRUJILLO</t>
  </si>
  <si>
    <t>VALLE DEL CAUCATULUÁ</t>
  </si>
  <si>
    <t>VALLE DEL CAUCAULLOA</t>
  </si>
  <si>
    <t>VALLE DEL CAUCAVERSALLES</t>
  </si>
  <si>
    <t>VALLE DEL CAUCAVIJES</t>
  </si>
  <si>
    <t>VALLE DEL CAUCAYOTOCO</t>
  </si>
  <si>
    <t>VALLE DEL CAUCAYUMBO</t>
  </si>
  <si>
    <t>VALLE DEL CAUCAZARZAL</t>
  </si>
  <si>
    <t>ARAUCAARAUCA</t>
  </si>
  <si>
    <t>ARAUCAARAUQUITA</t>
  </si>
  <si>
    <t>ARAUCACRAVO NORTE</t>
  </si>
  <si>
    <t>ARAUCAFORTUL</t>
  </si>
  <si>
    <t>ARAUCAPUERTO RONDÓN</t>
  </si>
  <si>
    <t>ARAUCASARAVENA</t>
  </si>
  <si>
    <t>ARAUCATAME</t>
  </si>
  <si>
    <t>CASANAREYOPAL</t>
  </si>
  <si>
    <t>CASANAREAGUAZUL</t>
  </si>
  <si>
    <t>CASANARECHÁMEZA</t>
  </si>
  <si>
    <t>CASANAREHATO COROZAL</t>
  </si>
  <si>
    <t>CASANARELA SALINA</t>
  </si>
  <si>
    <t>CASANAREMANÍ</t>
  </si>
  <si>
    <t>CASANAREMONTERREY</t>
  </si>
  <si>
    <t>CASANARENUNCHÍA</t>
  </si>
  <si>
    <t>CASANAREOROCUÉ</t>
  </si>
  <si>
    <t>CASANAREPAZ DE ARIPORO</t>
  </si>
  <si>
    <t>CASANAREPORE</t>
  </si>
  <si>
    <t>CASANARERECETOR</t>
  </si>
  <si>
    <t>CASANARESABANALARGA</t>
  </si>
  <si>
    <t>CASANARESÁCAMA</t>
  </si>
  <si>
    <t>CASANARESAN LUIS DE PALENQUE</t>
  </si>
  <si>
    <t>CASANARETÁMARA</t>
  </si>
  <si>
    <t>CASANARETAURAMENA</t>
  </si>
  <si>
    <t>CASANARETRINIDAD</t>
  </si>
  <si>
    <t>CASANAREVILLANUEVA</t>
  </si>
  <si>
    <t>PUTUMAYOMOCOA</t>
  </si>
  <si>
    <t>PUTUMAYOCOLÓN</t>
  </si>
  <si>
    <t>PUTUMAYOORITO</t>
  </si>
  <si>
    <t>PUTUMAYOPUERTO ASÍS</t>
  </si>
  <si>
    <t>PUTUMAYOPUERTO CAICEDO</t>
  </si>
  <si>
    <t>PUTUMAYOPUERTO GUZMÁN</t>
  </si>
  <si>
    <t>PUTUMAYOPUERTO LEGUÍZAMO</t>
  </si>
  <si>
    <t>PUTUMAYOSIBUNDOY</t>
  </si>
  <si>
    <t>PUTUMAYOSAN FRANCISCO</t>
  </si>
  <si>
    <t>PUTUMAYOSAN MIGUEL</t>
  </si>
  <si>
    <t>PUTUMAYOSANTIAGO</t>
  </si>
  <si>
    <t>PUTUMAYOVALLE DEL GUAMUEZ</t>
  </si>
  <si>
    <t>PUTUMAYOVILLAGARZÓN</t>
  </si>
  <si>
    <t>ARCHIPIÉLAGO DE SAN ANDRÉS, PROVIDENCIA Y SANTA CATALINA</t>
  </si>
  <si>
    <t>ARCHIPIÉLAGO DE SAN ANDRÉS, PROVIDENCIA Y SANTA CATALINASAN ANDRÉS</t>
  </si>
  <si>
    <t>ARCHIPIÉLAGO DE SAN ANDRÉS, PROVIDENCIA Y SANTA CATALINAPROVIDENCIA</t>
  </si>
  <si>
    <t>AMAZONASLETICIA</t>
  </si>
  <si>
    <t>AMAZONASEL ENCANTO</t>
  </si>
  <si>
    <t>AMAZONASLA CHORRERA</t>
  </si>
  <si>
    <t>AMAZONASLA PEDRERA</t>
  </si>
  <si>
    <t>AMAZONASLA VICTORIA</t>
  </si>
  <si>
    <t>AMAZONASMIRITÍ - PARANÁ</t>
  </si>
  <si>
    <t>AMAZONASPUERTO ALEGRÍA</t>
  </si>
  <si>
    <t>AMAZONASPUERTO ARICA</t>
  </si>
  <si>
    <t>AMAZONASPUERTO NARIÑO</t>
  </si>
  <si>
    <t>AMAZONASPUERTO SANTANDER</t>
  </si>
  <si>
    <t>AMAZONASTARAPACÁ</t>
  </si>
  <si>
    <t>GUAINÍAINÍRIDA</t>
  </si>
  <si>
    <t>GUAINÍABARRANCOMINAS</t>
  </si>
  <si>
    <t>GUAINÍASAN FELIPE</t>
  </si>
  <si>
    <t>GUAINÍAPUERTO COLOMBIA</t>
  </si>
  <si>
    <t>GUAINÍALA GUADALUPE</t>
  </si>
  <si>
    <t>GUAINÍACACAHUAL</t>
  </si>
  <si>
    <t>GUAINÍAPANA PANA</t>
  </si>
  <si>
    <t>GUAINÍAMORICHAL</t>
  </si>
  <si>
    <t>GUAVIARESAN JOSÉ DEL GUAVIARE</t>
  </si>
  <si>
    <t>GUAVIARECALAMAR</t>
  </si>
  <si>
    <t>GUAVIAREEL RETORNO</t>
  </si>
  <si>
    <t>GUAVIAREMIRAFLORES</t>
  </si>
  <si>
    <t>VAUPÉSMITÚ</t>
  </si>
  <si>
    <t>VAUPÉSCARURÚ</t>
  </si>
  <si>
    <t>VAUPÉSPACOA</t>
  </si>
  <si>
    <t>VAUPÉSTARAIRA</t>
  </si>
  <si>
    <t>VAUPÉSPAPUNAHUA</t>
  </si>
  <si>
    <t>VAUPÉSYAVARATÉ</t>
  </si>
  <si>
    <t>VICHADAPUERTO CARREÑO</t>
  </si>
  <si>
    <t>VICHADALA PRIMAVERA</t>
  </si>
  <si>
    <t>VICHADASANTA ROSALÍA</t>
  </si>
  <si>
    <t>VICHADACUMARIBO</t>
  </si>
  <si>
    <t>INGRESO DE LOS DATOS DE LA COMUNIDAD ENERGÉTICA</t>
  </si>
  <si>
    <t>Cuando vea un comentario en la pregunta, al abrirlo podrá encontrar la descripción de una lista o la explicación del campo.</t>
  </si>
  <si>
    <t>Todas las preguntas se deben responder para que los módulos queden completos. Donde se pidan datos numéricos y no lo requiera, ponga cero.</t>
  </si>
  <si>
    <t>Las celdas de las preguntas que están coloreadas es porque tienen un comentario que es importante que usted lea.</t>
  </si>
  <si>
    <t>Ubicación de la comunidad energética</t>
  </si>
  <si>
    <t>Departamento de la comunidad</t>
  </si>
  <si>
    <t>Municipio de la comunidad</t>
  </si>
  <si>
    <t>Locación de la comunidad</t>
  </si>
  <si>
    <t>CORREGIMIENTO</t>
  </si>
  <si>
    <t>Tipo de comunidad</t>
  </si>
  <si>
    <t>URBANO</t>
  </si>
  <si>
    <t>Ubicación de la comunidad</t>
  </si>
  <si>
    <t>SIN</t>
  </si>
  <si>
    <t>Altitud</t>
  </si>
  <si>
    <t>Estrato de la comunidad</t>
  </si>
  <si>
    <t>ESTRATO 4</t>
  </si>
  <si>
    <t>Escolaridad promedio de la comunidad</t>
  </si>
  <si>
    <t>EDUCACIÓN MEDIA</t>
  </si>
  <si>
    <t>Cantidad de miembros de la comunidad energética</t>
  </si>
  <si>
    <t>Hombres (Mayores de edad)</t>
  </si>
  <si>
    <t>Mujeres (Mayores de edad)</t>
  </si>
  <si>
    <t>Otro género (Mayores de edad)</t>
  </si>
  <si>
    <t>Menores de edad</t>
  </si>
  <si>
    <t>Total cantidad de miembros de la comunidad</t>
  </si>
  <si>
    <r>
      <t xml:space="preserve">Cantidad de usuarios de la comunidad </t>
    </r>
    <r>
      <rPr>
        <b/>
        <sz val="16"/>
        <color theme="1"/>
        <rFont val="Calibri"/>
        <family val="2"/>
        <scheme val="minor"/>
      </rPr>
      <t>AC</t>
    </r>
    <r>
      <rPr>
        <sz val="16"/>
        <color theme="1"/>
        <rFont val="Calibri"/>
        <family val="2"/>
        <scheme val="minor"/>
      </rPr>
      <t xml:space="preserve"> (# Hogares de la comunidad)</t>
    </r>
  </si>
  <si>
    <t>Caracterización tipos de miembros de la comunidad energética</t>
  </si>
  <si>
    <t>Priorización de la comunidad</t>
  </si>
  <si>
    <t>NO APLICA PRIORIZACIÓN PARA ESTA COMUNIDAD</t>
  </si>
  <si>
    <t>¿La comunidad cuenta con líderes jóvenes visibles?</t>
  </si>
  <si>
    <t>NO</t>
  </si>
  <si>
    <t>¿La comunidad cuenta con con organizaciones dedicadas a la promoción de la defensa de DDHH, ambientales u organizaciones productivas?</t>
  </si>
  <si>
    <t>¿La comunidad cuenta con una estructura de gobierno propio?</t>
  </si>
  <si>
    <t>¿La comunidad cuenta con estrategias organizativas y acciones de base, para liderar e impulsar procesos comunitarios que benefician a sus habitantes, a partir, por ejemplo, de veedurías ciudadanas, emisoras comunitarias, cooperativas de ahorro, comités de trabajo colaborativo, entre otras?</t>
  </si>
  <si>
    <t>SI</t>
  </si>
  <si>
    <t>¿La comunidad cuenta con experiencia en la ejecución de proyectos de forma comunitaria?</t>
  </si>
  <si>
    <t>¿La comunidad cuenta con experiencia en la ejecución de proyectos en alianza con instituciones gubernamentales?</t>
  </si>
  <si>
    <t>¿La comunidad cuenta con experiencia en la resolución de conflictos tanto al interior de la comunidad como con agentes o instituciones externas, de tipo político, cultural, ambiental, social entre otros?</t>
  </si>
  <si>
    <t>¿La comunidad cuenta con experiencia en la ejecución de proyectos productivos realizados en beneficio de toda la comunidad?</t>
  </si>
  <si>
    <t>¿La comunidad ha tomado cursos, talleres, capacitaciones, asesoria, entre otros para desarrollar sus capacidades productivas y de gestión comunitaria?</t>
  </si>
  <si>
    <t>¿La comunidad cuenta con recursos propios y que reinvierta en procesos productos también propios?</t>
  </si>
  <si>
    <t>¿La comunidad cuenta con prácticas específicas para el cuidado del medio ambiente?</t>
  </si>
  <si>
    <t>¿La comunidad cuenta con prácticas ancestrales o tradicionales que den identidad a la comunidad? (rituales, artesanías, actividades productivas ancestrales, religiosidad tradicional)</t>
  </si>
  <si>
    <t>Estructura Jurídica de la sociedad</t>
  </si>
  <si>
    <t>Tipo de sociedad</t>
  </si>
  <si>
    <t>CIVIL</t>
  </si>
  <si>
    <t>Consumo y tipo de solución de la comunidad energética</t>
  </si>
  <si>
    <t>Sumatoria de los consumos promedio de los usuarios de la comunidad</t>
  </si>
  <si>
    <t>Consumo promedio usuario kWh/mes</t>
  </si>
  <si>
    <t>Tarifa operador más cercano $/kWh</t>
  </si>
  <si>
    <t>Fuente energética</t>
  </si>
  <si>
    <t>SOLAR FOTOVOLTAICO</t>
  </si>
  <si>
    <t>Ingrese la capacidad de generación de energía al mes</t>
  </si>
  <si>
    <t>VALIDACIÓN</t>
  </si>
  <si>
    <t>COMENTARIO</t>
  </si>
  <si>
    <t>Si no cuenta con el dato, puede considerar este cuadro de ayuda que a partir de una capacidad de kWp y el brillo solar promedio por día que por defecto se pone 7 pero si ustedn cuenta con información más precisa pone el brillo solar promedio por día, 30 días al mes para tener un dato de la generación mensual.</t>
  </si>
  <si>
    <t>Capacidad (kWp)</t>
  </si>
  <si>
    <t>Validación</t>
  </si>
  <si>
    <t>Brillo solar promedio (h/día)</t>
  </si>
  <si>
    <t>Días/Mes</t>
  </si>
  <si>
    <t>Cuántos días del mes genera</t>
  </si>
  <si>
    <t>Generación (kWh/mes)</t>
  </si>
  <si>
    <t>Tipo de agente</t>
  </si>
  <si>
    <t>Generador Distribuido Colectivo (sólo le interesa vender energía) - GDC</t>
  </si>
  <si>
    <t>Ahorro considerado como ingreso para la comunidad</t>
  </si>
  <si>
    <t>Validación de la generación vs consumo para AGRC</t>
  </si>
  <si>
    <t>Precio al que se venderá la energía</t>
  </si>
  <si>
    <t>Precio de venta</t>
  </si>
  <si>
    <t>Valores</t>
  </si>
  <si>
    <t>AÑO 1</t>
  </si>
  <si>
    <t>AÑO 2</t>
  </si>
  <si>
    <t>AÑO 3</t>
  </si>
  <si>
    <t>AÑO 4</t>
  </si>
  <si>
    <t>AÑO 5</t>
  </si>
  <si>
    <t>AÑO 6</t>
  </si>
  <si>
    <t>AÑO 7</t>
  </si>
  <si>
    <t>AÑO 8</t>
  </si>
  <si>
    <t>AÑO 9</t>
  </si>
  <si>
    <t>AÑO 10</t>
  </si>
  <si>
    <t>Administración, Operación y Mantenimiento (Valores mensuales)</t>
  </si>
  <si>
    <t>Suministros para la operación</t>
  </si>
  <si>
    <t>Arrendamiento de inmuebles</t>
  </si>
  <si>
    <t>Servicios públicos</t>
  </si>
  <si>
    <t>Celulares</t>
  </si>
  <si>
    <t>Viáticos</t>
  </si>
  <si>
    <t>Licencia software</t>
  </si>
  <si>
    <t>Papelería</t>
  </si>
  <si>
    <t>Elementos de aseo y cafetería</t>
  </si>
  <si>
    <t>Software operación</t>
  </si>
  <si>
    <t>Honorarios</t>
  </si>
  <si>
    <t>Renting de maquinaria y equipos</t>
  </si>
  <si>
    <t>Repuestos y piezas de recambio</t>
  </si>
  <si>
    <t>Gastos por eliminación de residuos</t>
  </si>
  <si>
    <t>Salarios</t>
  </si>
  <si>
    <t>TOTAL</t>
  </si>
  <si>
    <t>Construcción de salarios</t>
  </si>
  <si>
    <t>Salario mínimo</t>
  </si>
  <si>
    <t>Auxilio de transporte</t>
  </si>
  <si>
    <t>Cargo</t>
  </si>
  <si>
    <t>Salario mensual</t>
  </si>
  <si>
    <t>Costo laboral</t>
  </si>
  <si>
    <t>Costo total</t>
  </si>
  <si>
    <t>Cargo 1</t>
  </si>
  <si>
    <t>Administrador</t>
  </si>
  <si>
    <t>Cargo 2</t>
  </si>
  <si>
    <t>Auxiliar</t>
  </si>
  <si>
    <t>Cargo 3</t>
  </si>
  <si>
    <t>Ingeniero</t>
  </si>
  <si>
    <t>Cargo 4</t>
  </si>
  <si>
    <t>Cargo 5</t>
  </si>
  <si>
    <t>Cargo 6</t>
  </si>
  <si>
    <t>Cargo 7</t>
  </si>
  <si>
    <t>Cargo 8</t>
  </si>
  <si>
    <t>Cargo 9</t>
  </si>
  <si>
    <t>Cargo 10</t>
  </si>
  <si>
    <t>Valor del mantenimiento</t>
  </si>
  <si>
    <t>Tipo mantenimiento</t>
  </si>
  <si>
    <t>Valor mes</t>
  </si>
  <si>
    <t>Mantenimiento preventivo</t>
  </si>
  <si>
    <t>Mantenimiento correctivo</t>
  </si>
  <si>
    <t>OPEX Otros gastos de la comunidad financiera (Valores mensuales)</t>
  </si>
  <si>
    <t>Formación continua a la comunidad</t>
  </si>
  <si>
    <t>Comunicación y divulgación</t>
  </si>
  <si>
    <t>Impuesto de Industria y Comercio</t>
  </si>
  <si>
    <t>Impuesto predial</t>
  </si>
  <si>
    <t>Gravamen por movimiento financiero (4 x mil)</t>
  </si>
  <si>
    <t>Póliza de cumplimiento</t>
  </si>
  <si>
    <t>Póliza de responsabilidad civil extracontractual</t>
  </si>
  <si>
    <t>Póliza pago de salarios y prestaciones</t>
  </si>
  <si>
    <t>Otras pólizas</t>
  </si>
  <si>
    <t>Comisiones bancarias</t>
  </si>
  <si>
    <t>TOTAL GASTOS OPEX</t>
  </si>
  <si>
    <t>Otras actividades económicas</t>
  </si>
  <si>
    <t>Ingresos mensuales por otras actividades económicas</t>
  </si>
  <si>
    <t>Costos y Gastos fijos mensuales por otras actividades económicas</t>
  </si>
  <si>
    <t>Costos y Gastos variables por otras actividades económicas</t>
  </si>
  <si>
    <t>CAPEX</t>
  </si>
  <si>
    <t>Lo invitamos a conocer estos enlaces de páginas web donde puede encontrar algunos precios de equipos. Si cuenta con los datos puede diligenciar esta parte</t>
  </si>
  <si>
    <t>https://ipse.gov.co/guia-practica-de-estructuracion-de-proyectos/</t>
  </si>
  <si>
    <t>https://ser-colombia.org/mercados-colombia/</t>
  </si>
  <si>
    <t>https://autosolar.co/</t>
  </si>
  <si>
    <t>https://lcoev2.upme.gov.co/</t>
  </si>
  <si>
    <t>PREOPERATIVOS GENERALES</t>
  </si>
  <si>
    <t>EQUIPO</t>
  </si>
  <si>
    <t>VALOR</t>
  </si>
  <si>
    <t>Gastos de constitución sociedad</t>
  </si>
  <si>
    <t>Póliza de energía solar</t>
  </si>
  <si>
    <t>Garantías extendidas</t>
  </si>
  <si>
    <t>Capacitación para la operación</t>
  </si>
  <si>
    <t>TOTAL PREOPERATIVOS GENERALES</t>
  </si>
  <si>
    <t>PREOPERATIVOS ESPECÍFICOS SISTEMA SOLAR FOTOVOLTAICO</t>
  </si>
  <si>
    <t>Equipos de medición del recurso solar</t>
  </si>
  <si>
    <t>Seguidores solares</t>
  </si>
  <si>
    <t>Datalogger</t>
  </si>
  <si>
    <t>Estaciones meteorológicas</t>
  </si>
  <si>
    <t>Estudios de valoración de potencial del
recurso solar</t>
  </si>
  <si>
    <t>Estudios ambientales</t>
  </si>
  <si>
    <t>Estudios de conexión</t>
  </si>
  <si>
    <t>Estudios estructurales</t>
  </si>
  <si>
    <t>Asesoría y consultoría técnica</t>
  </si>
  <si>
    <t>Diseño e ingeniería del sistema</t>
  </si>
  <si>
    <t>Transporte asociado al traslado de componentes al sitio de instalación</t>
  </si>
  <si>
    <t>TOTAL PREOPERATIVOS SOLAR FOTOVOLTAICO</t>
  </si>
  <si>
    <t>PREOPERATIVOS ESPECÍFICOS SISTEMA EÓLICO</t>
  </si>
  <si>
    <t>Equipos LIDAR</t>
  </si>
  <si>
    <t>Equipos SODAR</t>
  </si>
  <si>
    <t>Torres de medición</t>
  </si>
  <si>
    <t>Anemómetros</t>
  </si>
  <si>
    <t>Veletas</t>
  </si>
  <si>
    <t>Equpos de alimentación DC/AC</t>
  </si>
  <si>
    <t>Estudios de valoración de potencial del recurso eólico</t>
  </si>
  <si>
    <t>Diseño e Ingeniería del sistema</t>
  </si>
  <si>
    <t>Transporte asociado al traslado de
componentes al sitio de instalación</t>
  </si>
  <si>
    <t>TOTAL PREOPERATIVOS EÓLICO</t>
  </si>
  <si>
    <t>PREOPERATIVOS ESPECÍFICOS SISTEMA BIOMASA</t>
  </si>
  <si>
    <t>Estudios de valoración de potencial para uso energético de la biomasa</t>
  </si>
  <si>
    <t>Estudios de conexión.</t>
  </si>
  <si>
    <t>TOTAL PREOPERATIVOS BIOMASA</t>
  </si>
  <si>
    <t>PREOPERATIVOS ESPECÍFICOS APROVECHAMIENTOS HIDROELÉCTRICOS</t>
  </si>
  <si>
    <t>Estudios de valoración de potencial hidráulico</t>
  </si>
  <si>
    <t>Equipos de medición</t>
  </si>
  <si>
    <t>TOTAL PREOPERATIVOS PEQUEÑAS HIDORELÉCTRICAS</t>
  </si>
  <si>
    <t>PREOPERATIVOS ESPECÍFICOS SISTEMA GEOTÉRMICO</t>
  </si>
  <si>
    <t>Alquiler equipos y plataformas de perforación geotérmicos</t>
  </si>
  <si>
    <t>Toma de fotografías aéreas; imágenes de satélite; etc</t>
  </si>
  <si>
    <t>Estudios de valoración de potencial del
recurso geotérmico</t>
  </si>
  <si>
    <t>Estudios de gradiente térmico</t>
  </si>
  <si>
    <t>Geología / exploración.</t>
  </si>
  <si>
    <t>Geoquímica / exploración.</t>
  </si>
  <si>
    <t>Geofísica / exploración.</t>
  </si>
  <si>
    <t>Diseño e Ingeniería del sistema
(Incluyendo software especializado)</t>
  </si>
  <si>
    <t>Equipos para prospección geofísica y geoquímica</t>
  </si>
  <si>
    <t>Equipos de perforación</t>
  </si>
  <si>
    <t>Equipos para monitoreo de temperatura</t>
  </si>
  <si>
    <t>Equipos de laboratorio para análisis geoquímicos y geológicos</t>
  </si>
  <si>
    <t>Instalaciones superficiales para prueba de pozos</t>
  </si>
  <si>
    <t>TOTAL PREOPERATIVOS GEOTÉRMICOS</t>
  </si>
  <si>
    <t>La vida util de los equipos para el modelo financiero se depreciará a 10 años.</t>
  </si>
  <si>
    <t>INVERSIÓN SISTEMA FOTOVOLTAICO</t>
  </si>
  <si>
    <t>Paneles/módulos o celdas fotovoltaicas</t>
  </si>
  <si>
    <t>Inversores o microinversores</t>
  </si>
  <si>
    <t>Reguladores o controladores de carga</t>
  </si>
  <si>
    <t>Baterías solares (de ciclo de descarga profunda)</t>
  </si>
  <si>
    <t>Optimizadores</t>
  </si>
  <si>
    <t>Bases / marcos</t>
  </si>
  <si>
    <t>Sistemas de tracking</t>
  </si>
  <si>
    <t>Cajas combinadoras</t>
  </si>
  <si>
    <t>Conectores MC4</t>
  </si>
  <si>
    <t>Cables solares DC</t>
  </si>
  <si>
    <t>Equipos de compensación de potencia reactiva</t>
  </si>
  <si>
    <t>Equipos para la reducción de armónicos</t>
  </si>
  <si>
    <t>Certificación de la unidad funcional UPME</t>
  </si>
  <si>
    <t>TOTAL INVERSIÓN FOTOVOLTAICOS</t>
  </si>
  <si>
    <t>INVERSIÓN SISTEMA EÓLICO</t>
  </si>
  <si>
    <t>Aerogeneradores (como un todo)</t>
  </si>
  <si>
    <t>Torres de aerogeneradores</t>
  </si>
  <si>
    <t>Ascensores para los aerogeneradores</t>
  </si>
  <si>
    <t>Luces de obstrucción y desviadores</t>
  </si>
  <si>
    <t>TOTAL INVERSIÓN EÓLICOS</t>
  </si>
  <si>
    <t>INVERSIÓN SISTEMA BIOMASA (BIOGAS)</t>
  </si>
  <si>
    <t>Biodigestores</t>
  </si>
  <si>
    <t>Digestores y post-digestores</t>
  </si>
  <si>
    <t>Tanques de almacenamiento.</t>
  </si>
  <si>
    <t>Equipos de medición de
producción de biogás y concentración de metano</t>
  </si>
  <si>
    <t>Equipos para desulfuración de biogás y remoción de impurezas</t>
  </si>
  <si>
    <t xml:space="preserve">Equipos para remoción de CO2 de biogás </t>
  </si>
  <si>
    <t>Ventiladores / sopladores para flujo de biogás</t>
  </si>
  <si>
    <t>Válvulas</t>
  </si>
  <si>
    <t>Trampas: de ácido sulfhídrico, de llama, de agua</t>
  </si>
  <si>
    <t>Calderas</t>
  </si>
  <si>
    <t>Hornos</t>
  </si>
  <si>
    <t>Teas de emergencia</t>
  </si>
  <si>
    <t>TOTAL INVERSIÓN BIOMASA</t>
  </si>
  <si>
    <t>INVERSIÓN PEQUEÑAS HIDROELÉCTRICAS</t>
  </si>
  <si>
    <t>Tuberías</t>
  </si>
  <si>
    <t>Chimeneas de equilibrio, aliviaderos</t>
  </si>
  <si>
    <t>Válvulas y compuertas</t>
  </si>
  <si>
    <t>Turbinas</t>
  </si>
  <si>
    <t>Turbogeneradores</t>
  </si>
  <si>
    <t>Dispositivos de regulación y tubos difusores</t>
  </si>
  <si>
    <t>Bombas y motores</t>
  </si>
  <si>
    <t>Elementos hidromecánicos (rejas coladeras y equipo limpia rejas)</t>
  </si>
  <si>
    <t>Generadores</t>
  </si>
  <si>
    <t>Transformadores de excitación y rectificadores</t>
  </si>
  <si>
    <t>Equipos de regulación de tensión, velocidad, control, protección y medida</t>
  </si>
  <si>
    <t>TOTAL INVERSIÓN PEQUEÑAS HIDROELÉCTRICAS</t>
  </si>
  <si>
    <t>INVERSIÓN SISTEMA GEOTÉRMICO</t>
  </si>
  <si>
    <t>Bombas centrífugas, electrosumergibles, de calor geotérmicas</t>
  </si>
  <si>
    <t>Silenciadores</t>
  </si>
  <si>
    <t>Desarenadoras</t>
  </si>
  <si>
    <t>Tuberías de vapor, salmuera</t>
  </si>
  <si>
    <t>Separadores de vapor o de humedad</t>
  </si>
  <si>
    <t>Tanques de almacenamiento</t>
  </si>
  <si>
    <t>Intercambiadores de calor, evaporadores o condensadores</t>
  </si>
  <si>
    <t>Turbinas especiales para aplicaciones geotérmicas</t>
  </si>
  <si>
    <t>Manómetro, temperatura y flujo másico de fluidos y vapor</t>
  </si>
  <si>
    <t>Eyectores de vapor (NCG &amp; H2S)</t>
  </si>
  <si>
    <t>Compresores</t>
  </si>
  <si>
    <t>Sistemas de condensado: condensadores, torres de enfriamiento</t>
  </si>
  <si>
    <t>Depuradores</t>
  </si>
  <si>
    <t>Elementos estructurales de pozos</t>
  </si>
  <si>
    <t>Removedores y filtros</t>
  </si>
  <si>
    <t>Equipos anti explosión durante perforación</t>
  </si>
  <si>
    <t>Cámara de flash</t>
  </si>
  <si>
    <t>Equipos de recolección y transporte de vapor a la planta</t>
  </si>
  <si>
    <t>Equipos de recolección y transporte de fluidos a los pozos de reinyección</t>
  </si>
  <si>
    <t>TOTAL INVERSIÓN SISTEMA GEOTÉRMICO</t>
  </si>
  <si>
    <t>Inversión en el proyecto</t>
  </si>
  <si>
    <t>Inversión inicial</t>
  </si>
  <si>
    <t>Capital propio</t>
  </si>
  <si>
    <t>Financiación</t>
  </si>
  <si>
    <t>Apoyos</t>
  </si>
  <si>
    <t>Capital de terceros</t>
  </si>
  <si>
    <t>Validador</t>
  </si>
  <si>
    <t>A TENER EN CUENTA EN ESTA SECCIÓN</t>
  </si>
  <si>
    <t>En esta sección entran los recursos del fondo FENOGE cuando el dinero aportado es reembolsable</t>
  </si>
  <si>
    <t>Solo una de las 2 debe ir en SI y todas deben estar en NO</t>
  </si>
  <si>
    <t>Toda la financiación se simulará en cuota fija en pesos</t>
  </si>
  <si>
    <t>Los créditos no tendrán incluido el seguro de vida a pagar</t>
  </si>
  <si>
    <t>El modelo solo considerará máximo 3 financiaciones</t>
  </si>
  <si>
    <t>La tasa se proyectará como una tasa fija y sin indexación</t>
  </si>
  <si>
    <t>La tasa promedio ponderada se calculará al inicio del proyecto</t>
  </si>
  <si>
    <t>FINANCIACIÓN 1</t>
  </si>
  <si>
    <t>Es un préstamo con garantía del Fondo Nacional de Garantías</t>
  </si>
  <si>
    <t>Es un préstamo normal con un Banco que exige la garantía del FNG</t>
  </si>
  <si>
    <t>Está tomando un leasing con opción de compra al final</t>
  </si>
  <si>
    <t>Adquiere un bien por medio del arrendamiento financiero</t>
  </si>
  <si>
    <t>Monto de la financiación</t>
  </si>
  <si>
    <t>Valor de la financiación solicitada y aprobada</t>
  </si>
  <si>
    <t>Tasa mensual</t>
  </si>
  <si>
    <t>Tasa a la que se liquidará el crédito</t>
  </si>
  <si>
    <t>Plazo del crédito en meses</t>
  </si>
  <si>
    <t>Tiempo en meses al que se pactó la financiación</t>
  </si>
  <si>
    <t>Fee Fondo Nacional de Garantías</t>
  </si>
  <si>
    <t>Comisión anticipada que cobrará el Fondo Nacional de Garantías</t>
  </si>
  <si>
    <t>Cantidad Fee FNG 0</t>
  </si>
  <si>
    <t>Año 0</t>
  </si>
  <si>
    <t>Cantidad Fee FNG 1</t>
  </si>
  <si>
    <t>Año 1</t>
  </si>
  <si>
    <t>Cantidad Fee FNG 2</t>
  </si>
  <si>
    <t>Año 2</t>
  </si>
  <si>
    <t>Cantidad Fee FNG 3</t>
  </si>
  <si>
    <t>Año 3</t>
  </si>
  <si>
    <t>Cantidad Fee FNG 4</t>
  </si>
  <si>
    <t>Año 4</t>
  </si>
  <si>
    <t>Cantidad Fee FNG 5</t>
  </si>
  <si>
    <t>Año 5</t>
  </si>
  <si>
    <t>Cantidad Fee FNG 6</t>
  </si>
  <si>
    <t>Año 6</t>
  </si>
  <si>
    <t>Cantidad Fee FNG 7</t>
  </si>
  <si>
    <t>Año 7</t>
  </si>
  <si>
    <t>Cantidad Fee FNG 8</t>
  </si>
  <si>
    <t>Año 8</t>
  </si>
  <si>
    <t>Cantidad Fee FNG 9</t>
  </si>
  <si>
    <t>Año 9</t>
  </si>
  <si>
    <t>Cantidad Fee FNG 10</t>
  </si>
  <si>
    <t>Año 10</t>
  </si>
  <si>
    <t>Opción de compra</t>
  </si>
  <si>
    <t>Porcentaje de la opción de compra que se dará al final de todos los pagos</t>
  </si>
  <si>
    <t>Valor de salvamento al final</t>
  </si>
  <si>
    <t>Valor de salvamento al inicio</t>
  </si>
  <si>
    <t>Cuota fija a pagar</t>
  </si>
  <si>
    <t>Cuota que debe pagar mensualmente</t>
  </si>
  <si>
    <t>FINANCIACIÓN 2</t>
  </si>
  <si>
    <t>FINANCIACIÓN 3</t>
  </si>
  <si>
    <t>LOCACIÓN</t>
  </si>
  <si>
    <t>TIPO</t>
  </si>
  <si>
    <t>UBICACIÓN</t>
  </si>
  <si>
    <t>ESTRATO</t>
  </si>
  <si>
    <t>ESCOLARIDAD</t>
  </si>
  <si>
    <t>FUENTE ENERGÉTICA</t>
  </si>
  <si>
    <t>TIPO DE AGENTE</t>
  </si>
  <si>
    <t>AFIRMATIVO Y NEGATIVO</t>
  </si>
  <si>
    <t>TIPO DE SOCIEDAD</t>
  </si>
  <si>
    <t>PRIORIZACIÓN DE LA COMUNIDAD</t>
  </si>
  <si>
    <t>DISTRITO</t>
  </si>
  <si>
    <t>RURAL</t>
  </si>
  <si>
    <t>ESTRATO 1</t>
  </si>
  <si>
    <t>SIN EDUCACIÓN</t>
  </si>
  <si>
    <t>Autogenerador Colectivo ( no le interesa vender energia) - AGRC</t>
  </si>
  <si>
    <t>COMERCIAL</t>
  </si>
  <si>
    <t>VEREDA</t>
  </si>
  <si>
    <t>ZNI</t>
  </si>
  <si>
    <t>ESTRATO 2</t>
  </si>
  <si>
    <t>EDUCACIÓN BÁSICA</t>
  </si>
  <si>
    <t>EÓLICO</t>
  </si>
  <si>
    <t>Autogenerador Colectivo (le interesa solo vender energíá sobrante) - AGRC</t>
  </si>
  <si>
    <t>MPC - Mesa Permanente de Concertación indigena</t>
  </si>
  <si>
    <t>ÁREAS ESPECIALES</t>
  </si>
  <si>
    <t>ESTRATO 3</t>
  </si>
  <si>
    <t>BIOMASA</t>
  </si>
  <si>
    <t>MRA - Mesa Regional Amazónica</t>
  </si>
  <si>
    <t>NA</t>
  </si>
  <si>
    <t>EDUCACIÓN SUPERIOR</t>
  </si>
  <si>
    <t>PEQUEÑAS HIDROELÉCTRICAS</t>
  </si>
  <si>
    <t>Comunidades negras</t>
  </si>
  <si>
    <t>ESTRATO 5</t>
  </si>
  <si>
    <t>GEOTÉRMICO</t>
  </si>
  <si>
    <t>Afrocolombianas</t>
  </si>
  <si>
    <t>ESTRATO 6</t>
  </si>
  <si>
    <t>HÍBRIDA</t>
  </si>
  <si>
    <t>Raizales</t>
  </si>
  <si>
    <t>Palenqueras</t>
  </si>
  <si>
    <t xml:space="preserve">INSTITUCIONAL </t>
  </si>
  <si>
    <t>Acuerdo de paz</t>
  </si>
  <si>
    <t>INDUSTRIAL</t>
  </si>
  <si>
    <t>Organización campesina</t>
  </si>
  <si>
    <t>Órdenes judiciales - Sentencias</t>
  </si>
  <si>
    <t>Otros</t>
  </si>
  <si>
    <t>CAPEX INVERSIÓN INICIAL Y EN ACTIVOS FIJOS</t>
  </si>
  <si>
    <t>INVERSIÓN POR FUENTE ENERGÉTICA ELEGIDA</t>
  </si>
  <si>
    <t>PREOPERATIVOS</t>
  </si>
  <si>
    <t>INVERSIÓN INCIAL</t>
  </si>
  <si>
    <t>ACTIVOS FIJOS</t>
  </si>
  <si>
    <t>FUENTE</t>
  </si>
  <si>
    <t>(AOM Y OPEX) COSTOS Y GASTOS DE LA OPERACIÓN</t>
  </si>
  <si>
    <t>AOM</t>
  </si>
  <si>
    <t>OPEX</t>
  </si>
  <si>
    <t>La administración, operación y mantenimiento tienen una relación muy directa con la generación de los ingresos de la comunidad energética. Los gastos OPEX hacen parte de la operación y son muy necesarios, pero no necesariamente están en función de la generación de ingresos para la comunidad. Los costos y gastos AOM se proyectan al Salario Mínimo Legal Vigente mientras que los gastos OPEX se proyectan al IPC.</t>
  </si>
  <si>
    <t>COSTO Y GASTO</t>
  </si>
  <si>
    <t>ADMINISTRACIÓN, OPERACIÓN Y MANTENI</t>
  </si>
  <si>
    <t>GASTOS FUNCIONALES DE LA OPERACIÓN</t>
  </si>
  <si>
    <t>TOTAL COSTOS Y GASTOS DE LA OPERACIÓN</t>
  </si>
  <si>
    <t>MIEMBROS DE LA COMUNIDAD</t>
  </si>
  <si>
    <t>EDUCACIÓN DE LA COMUNIDAD</t>
  </si>
  <si>
    <t>ESTRATO DE LA COMUNIDAD</t>
  </si>
  <si>
    <t>CAPACIDAD ORGANIZATIVA</t>
  </si>
  <si>
    <t>CUIDADO MEDIO AMBIENTE</t>
  </si>
  <si>
    <t>VOCACIÓN PRODUCTIVA</t>
  </si>
  <si>
    <t>VARIABLES ECONÓMICAS</t>
  </si>
  <si>
    <t>% SERVICIOS PÚBLICOS CABECERA MUNICIPAL</t>
  </si>
  <si>
    <t>% SERVICIOS PÚBLICOS CENTROS POBLADOS Y RURAL DISPERSO</t>
  </si>
  <si>
    <t>ACTIVOS FIJOS DE LA OPERACIÓN</t>
  </si>
  <si>
    <t>CONCEPTOS</t>
  </si>
  <si>
    <t>AÑO 0</t>
  </si>
  <si>
    <t>INVERSIÓN INICIAL</t>
  </si>
  <si>
    <t>ACTIVOS FIJOS BRUTOS</t>
  </si>
  <si>
    <t>DEPRECIACIÓN PERIODO</t>
  </si>
  <si>
    <t>DEPRECIACIÓN ACUMULADA</t>
  </si>
  <si>
    <t>ACTIVOS FIJOS NETOS</t>
  </si>
  <si>
    <t>Los activos fijos e intangibles de la operación se componen de la inversión realizada al inicio de la comunidad de todos los equipos necesarios para la generación de energía. A diferencia de la inversión inicial, estos no llevan los gastos preoperativos, ya que muchos de estos son estudios, permisos y demás. Contablemente se les debe hacer depreciación que consiste en restarle anualmente una cantidad por uso. Para este modelo se usó una depreciación en línea recta a 10 años. Cada comunidad establecerá los tiempos en los que deprecia un bien y puede basarse en su vida útil.</t>
  </si>
  <si>
    <t>ESTRUCTURA DE CAPITAL</t>
  </si>
  <si>
    <t>DE DONDE PROVIENE LA INVERSIÓN INICIAL</t>
  </si>
  <si>
    <t>CAPITAL PROPIO, DE TERCEROS Y FINANCIACIÓN</t>
  </si>
  <si>
    <t>PROPIEDAD COMUNIDAD</t>
  </si>
  <si>
    <t>PROPIEDAD TERCEROS</t>
  </si>
  <si>
    <t>FINANCIACIÓN</t>
  </si>
  <si>
    <t>CAPITAL PROPIO</t>
  </si>
  <si>
    <t>PROPIO</t>
  </si>
  <si>
    <t>TERCEROS</t>
  </si>
  <si>
    <t>BANCOS</t>
  </si>
  <si>
    <t>APOYOS</t>
  </si>
  <si>
    <t>De donde proviene el capital informa sobre las fuentes que hicieron posibles alcanzar la inversión inicial del proyecto energético. Esta inversión generalmente proviene de capital propio de los miembros de la comunidad, financiación en la banca tradicional o con particulares, apoyos de los fondos destinados como el FAER, FOES, FENOGE, FAZNI o los recursos de las regalías y capital de terceros que puede provenir de una organización, crowdfunding entre otros.</t>
  </si>
  <si>
    <t>El capital define la distribución del capital en la comunidad energética ya constituida como una sociedad. Los apoyos se convierten en capital propio aportado por la comunidad y define lo que tienen los terceros y en cuanto se apalanca financieramente la comunidad con las entidades bancarias.</t>
  </si>
  <si>
    <t>ESTRUCTURA JURÍDICA</t>
  </si>
  <si>
    <t>RESPONSABLE DE RENTA</t>
  </si>
  <si>
    <t>RESPONSABLE DE IVA</t>
  </si>
  <si>
    <t>PUEDE VENDER ENERGÍA</t>
  </si>
  <si>
    <t>DISTRIBUCIÓN DE UTILIDADES</t>
  </si>
  <si>
    <t>COMUNIDAD ORGANIZADA</t>
  </si>
  <si>
    <t>Como sociedad constituida, tienen el deber de llevar registros contables cumpliendo las normas nacionales e internacionales, se debe tener un programa para la facturación electrónica y la nómina electrónica. Deben cumplir con el Sistema de Gestión de Seguridad y Salud en el Trabajo.</t>
  </si>
  <si>
    <t>Sociedad Anónima, Sociedad Anónima Simplificada, Sociedad Limitada, Sociedad en comandita, Sociedad Colectiva.</t>
  </si>
  <si>
    <t>Conocidas como ESAL: Asociaciones o Corporaciones, Fundaciones, Cooperativas (Entidades de Economía Solidaria).</t>
  </si>
  <si>
    <t>CAPACITACIÓN</t>
  </si>
  <si>
    <t>COMUNICACIÓN Y DIVULGACIÓN</t>
  </si>
  <si>
    <t>FORMACIÓN</t>
  </si>
  <si>
    <t>OPERACIÓN</t>
  </si>
  <si>
    <t>En la inversión inicial en la parte de los preoperativos, es importante considerar la comunicación y divulgación para conscientizar a la comunidad sobre la creación de la comunidad energética y también será muy importante la capacitación en los equipos sobre su funcionamiento, mantenimiento e intervenciones que se deban realizar.
En la operación la comunicación y divulgación seguirá siendo importante para tener una comundiad infirmada sobre temas energéticos y la formación será un pilar fundamental para mejorar cada día en la eficiencia energética.</t>
  </si>
  <si>
    <t>OTRAS ACTIVIDADES COMERCIALES DE LA COMUNIDAD ENERGÉTICA</t>
  </si>
  <si>
    <t>PUNTO DE EQUILIBRIO MENSUAL DE LA ACTIVIDAD COMERCIAL</t>
  </si>
  <si>
    <t>El punto de equilibrio es la cantidad de ingresos mínimos mensuales que debe tener la actividad económica para que sea sostenible en el tiempo.</t>
  </si>
  <si>
    <t>CONCEPTO</t>
  </si>
  <si>
    <t>Utilidad</t>
  </si>
  <si>
    <t>Los ingresos y los costos y gastos se proyectan creciendo al IPC. Lo más importante a tener en cuenta en la actividad económica es el punto de equilibrio que le permite a la comunidad energética ser sostenible en el tiempo. El cálculo que se muestra, hace referencia al punto de equilibrio hoy que se debe ir cambiando conforme vayan pasando los años.</t>
  </si>
  <si>
    <t>INSTRUCCIONES</t>
  </si>
  <si>
    <r>
      <rPr>
        <b/>
        <sz val="12"/>
        <color theme="1"/>
        <rFont val="Calibri"/>
        <family val="2"/>
        <scheme val="minor"/>
      </rPr>
      <t xml:space="preserve">Introducción
</t>
    </r>
    <r>
      <rPr>
        <sz val="12"/>
        <color theme="1"/>
        <rFont val="Calibri"/>
        <family val="2"/>
        <scheme val="minor"/>
      </rPr>
      <t xml:space="preserve">Bienvenido al Manual de Usuario del Modelo Financiero en Excel </t>
    </r>
    <r>
      <rPr>
        <b/>
        <sz val="12"/>
        <color theme="1"/>
        <rFont val="Calibri"/>
        <family val="2"/>
        <scheme val="minor"/>
      </rPr>
      <t>Modelo para la estructuración financiera y económica de Comunidades Energéticas</t>
    </r>
    <r>
      <rPr>
        <sz val="12"/>
        <color theme="1"/>
        <rFont val="Calibri"/>
        <family val="2"/>
        <scheme val="minor"/>
      </rPr>
      <t>. Este documento proporciona información detallada sobre cómo utilizar eficazmente el modelo financiero para analizar y gestionar datos financieros.</t>
    </r>
  </si>
  <si>
    <r>
      <t xml:space="preserve">Requisitos del Sistema
</t>
    </r>
    <r>
      <rPr>
        <sz val="12"/>
        <color theme="1"/>
        <rFont val="Calibri"/>
        <family val="2"/>
        <scheme val="minor"/>
      </rPr>
      <t>Asegúrese de tener una versión de Microsoft Excel compatible con el modelo financiero. Se recomienda utilizar Excel 2010 o versiones posteriores para una funcionalidad óptima.</t>
    </r>
  </si>
  <si>
    <r>
      <t xml:space="preserve">Instalación
</t>
    </r>
    <r>
      <rPr>
        <sz val="12"/>
        <color theme="1"/>
        <rFont val="Calibri"/>
        <family val="2"/>
        <scheme val="minor"/>
      </rPr>
      <t>No se requiere instalación. Abra el archivo de Excel proporcionado con el modelo financiero. El progrma no tiene MACROS por lo que no es necesario activarlas.</t>
    </r>
  </si>
  <si>
    <r>
      <t xml:space="preserve">                                                                                                                                          </t>
    </r>
    <r>
      <rPr>
        <b/>
        <sz val="11"/>
        <color theme="1"/>
        <rFont val="Calibri"/>
        <family val="2"/>
        <scheme val="minor"/>
      </rPr>
      <t xml:space="preserve">                   Estructura del Modelo</t>
    </r>
    <r>
      <rPr>
        <sz val="11"/>
        <color theme="1"/>
        <rFont val="Calibri"/>
        <family val="2"/>
        <scheme val="minor"/>
      </rPr>
      <t xml:space="preserve">
El modelo financiero consta de varias hojas de cálculo organizadas de la siguiente manera:
</t>
    </r>
    <r>
      <rPr>
        <b/>
        <sz val="11"/>
        <color theme="1"/>
        <rFont val="Calibri"/>
        <family val="2"/>
        <scheme val="minor"/>
      </rPr>
      <t xml:space="preserve">Datos: </t>
    </r>
    <r>
      <rPr>
        <sz val="11"/>
        <color theme="1"/>
        <rFont val="Calibri"/>
        <family val="2"/>
        <scheme val="minor"/>
      </rPr>
      <t xml:space="preserve">Es la pestaña donde usted proporcionará todos los datos para realizar el modelo financiero. Debe diligenciar todos los campos que ahí aparecen para que no tenga ningún inconveniente con los íconos donde se muestran los resultados. Ingrese los datos relevantes en las celdas designadas.
</t>
    </r>
    <r>
      <rPr>
        <b/>
        <sz val="11"/>
        <color theme="1"/>
        <rFont val="Calibri"/>
        <family val="2"/>
        <scheme val="minor"/>
      </rPr>
      <t xml:space="preserve">Descripción general del modelo: </t>
    </r>
    <r>
      <rPr>
        <sz val="11"/>
        <color theme="1"/>
        <rFont val="Calibri"/>
        <family val="2"/>
        <scheme val="minor"/>
      </rPr>
      <t xml:space="preserve">Este modelo financiero tiene 5 módulos en donde se muestra en cada uno de ellos, tres íconos que el usuario al pulsar, encontrará resultados sobre la temática específica. En la parte inferior izquierda encontrará los indicadores del proyecto y el punto de equilibrio que serán para el usuario el medidor del proyecto de comunidad energética como tal.
</t>
    </r>
    <r>
      <rPr>
        <b/>
        <sz val="11"/>
        <color theme="1"/>
        <rFont val="Calibri"/>
        <family val="2"/>
        <scheme val="minor"/>
      </rPr>
      <t xml:space="preserve">
1. MÓDULO DE FORMA ASOCIATIVA DE LA COMUNIDAD</t>
    </r>
    <r>
      <rPr>
        <sz val="11"/>
        <color theme="1"/>
        <rFont val="Calibri"/>
        <family val="2"/>
        <scheme val="minor"/>
      </rPr>
      <t xml:space="preserve">
</t>
    </r>
    <r>
      <rPr>
        <b/>
        <sz val="11"/>
        <color theme="1"/>
        <rFont val="Calibri"/>
        <family val="2"/>
        <scheme val="minor"/>
      </rPr>
      <t xml:space="preserve">1.1 Estructura jurídica: </t>
    </r>
    <r>
      <rPr>
        <sz val="11"/>
        <color theme="1"/>
        <rFont val="Calibri"/>
        <family val="2"/>
        <scheme val="minor"/>
      </rPr>
      <t xml:space="preserve">Encontrará la forma como se constituyen como persona jurídica y las implicaciones que tiene cada modelo de sociedad elegido.
</t>
    </r>
    <r>
      <rPr>
        <b/>
        <sz val="11"/>
        <color theme="1"/>
        <rFont val="Calibri"/>
        <family val="2"/>
        <scheme val="minor"/>
      </rPr>
      <t>1.2 Estructura de capital:</t>
    </r>
    <r>
      <rPr>
        <sz val="11"/>
        <color theme="1"/>
        <rFont val="Calibri"/>
        <family val="2"/>
        <scheme val="minor"/>
      </rPr>
      <t xml:space="preserve"> Se muestra de donde provienes las fuentes para la inversión inicial y muestra quien es el propietario de la sociedad de esta comunidad energética.
</t>
    </r>
    <r>
      <rPr>
        <b/>
        <sz val="11"/>
        <color theme="1"/>
        <rFont val="Calibri"/>
        <family val="2"/>
        <scheme val="minor"/>
      </rPr>
      <t xml:space="preserve">1.3 Estructura financiera: </t>
    </r>
    <r>
      <rPr>
        <sz val="11"/>
        <color theme="1"/>
        <rFont val="Calibri"/>
        <family val="2"/>
        <scheme val="minor"/>
      </rPr>
      <t xml:space="preserve">Aquí podrá ver el costo promedio ponderado de capital encontrando la estructura entre la tasa mínima requerida del inversionista y el apalancamiento financiero.
</t>
    </r>
    <r>
      <rPr>
        <b/>
        <sz val="11"/>
        <color theme="1"/>
        <rFont val="Calibri"/>
        <family val="2"/>
        <scheme val="minor"/>
      </rPr>
      <t xml:space="preserve">
2. MÓDULO DE DESARROLLO DE CAPACIDADES EN LA COMUNIDAD</t>
    </r>
    <r>
      <rPr>
        <sz val="11"/>
        <color theme="1"/>
        <rFont val="Calibri"/>
        <family val="2"/>
        <scheme val="minor"/>
      </rPr>
      <t xml:space="preserve">
</t>
    </r>
    <r>
      <rPr>
        <b/>
        <sz val="11"/>
        <color theme="1"/>
        <rFont val="Calibri"/>
        <family val="2"/>
        <scheme val="minor"/>
      </rPr>
      <t xml:space="preserve">2.1 Capacitación: </t>
    </r>
    <r>
      <rPr>
        <sz val="11"/>
        <color theme="1"/>
        <rFont val="Calibri"/>
        <family val="2"/>
        <scheme val="minor"/>
      </rPr>
      <t xml:space="preserve">Se muestra el esfuerzo de la comunidad energética en comunicación, divulgación y formación de la misma, tanto en la inversión como en el funcionamiento.
</t>
    </r>
    <r>
      <rPr>
        <b/>
        <sz val="11"/>
        <color theme="1"/>
        <rFont val="Calibri"/>
        <family val="2"/>
        <scheme val="minor"/>
      </rPr>
      <t xml:space="preserve">2.2 Variables económicas: </t>
    </r>
    <r>
      <rPr>
        <sz val="11"/>
        <color theme="1"/>
        <rFont val="Calibri"/>
        <family val="2"/>
        <scheme val="minor"/>
      </rPr>
      <t xml:space="preserve">Se puede observar la composición de la comunidad y sus principales características.
</t>
    </r>
    <r>
      <rPr>
        <b/>
        <sz val="11"/>
        <color theme="1"/>
        <rFont val="Calibri"/>
        <family val="2"/>
        <scheme val="minor"/>
      </rPr>
      <t>2.3 Otras Actividades Económicas:</t>
    </r>
    <r>
      <rPr>
        <sz val="11"/>
        <color theme="1"/>
        <rFont val="Calibri"/>
        <family val="2"/>
        <scheme val="minor"/>
      </rPr>
      <t xml:space="preserve"> Muestra como generan ingresos por otras fuentes diferentes a la energía las comunidades energéticas.
</t>
    </r>
    <r>
      <rPr>
        <b/>
        <sz val="11"/>
        <color theme="1"/>
        <rFont val="Calibri"/>
        <family val="2"/>
        <scheme val="minor"/>
      </rPr>
      <t xml:space="preserve">3. MÓDULO DEL SISTEMA ENERGÉTICO
3.1 CAPEX: </t>
    </r>
    <r>
      <rPr>
        <sz val="11"/>
        <color theme="1"/>
        <rFont val="Calibri"/>
        <family val="2"/>
        <scheme val="minor"/>
      </rPr>
      <t xml:space="preserve">Encontrará toda la inversión inicial y lo que se destina para los activos fijos de acuerdo con la fuente energética elegida. Equipos como plantas fotovoltaicas, turbinas eólicas, hornos de combustión, etc.
</t>
    </r>
    <r>
      <rPr>
        <b/>
        <sz val="11"/>
        <color theme="1"/>
        <rFont val="Calibri"/>
        <family val="2"/>
        <scheme val="minor"/>
      </rPr>
      <t xml:space="preserve">3.2 AOM Y OPEX: </t>
    </r>
    <r>
      <rPr>
        <sz val="11"/>
        <color theme="1"/>
        <rFont val="Calibri"/>
        <family val="2"/>
        <scheme val="minor"/>
      </rPr>
      <t xml:space="preserve">Visualizará todos los costos y gastos que provienen de la operación de una comunidad energética.
</t>
    </r>
    <r>
      <rPr>
        <b/>
        <sz val="11"/>
        <color theme="1"/>
        <rFont val="Calibri"/>
        <family val="2"/>
        <scheme val="minor"/>
      </rPr>
      <t xml:space="preserve">3.3 FINANCIACIÓN DEL PROYECTO: </t>
    </r>
    <r>
      <rPr>
        <sz val="11"/>
        <color theme="1"/>
        <rFont val="Calibri"/>
        <family val="2"/>
        <scheme val="minor"/>
      </rPr>
      <t xml:space="preserve">Encontrará la tasa a la que paga todos los créditos, su plan de amortización en el tiempo y si aplica a los diferentes fondos que ofrece el Estado en materia de proyectos energéticos alternativos.
</t>
    </r>
    <r>
      <rPr>
        <b/>
        <sz val="11"/>
        <color theme="1"/>
        <rFont val="Calibri"/>
        <family val="2"/>
        <scheme val="minor"/>
      </rPr>
      <t xml:space="preserve">4. MÓDULO DE GESTIÓN ADMINISTRATIVA Y SOSTENIBILIDAD DE LA COMUNIDAD ENERGÉTICA
4.1 ACTIVOS FIJOS E INTANGIBLES: </t>
    </r>
    <r>
      <rPr>
        <sz val="11"/>
        <color theme="1"/>
        <rFont val="Calibri"/>
        <family val="2"/>
        <scheme val="minor"/>
      </rPr>
      <t xml:space="preserve">Muestra los activos fijos en los que se invirtió de acuerdo a la fuente energética elegida. Y cuánto tiene de activos fijos con respecto a la inversión inicial.
</t>
    </r>
    <r>
      <rPr>
        <b/>
        <sz val="11"/>
        <color theme="1"/>
        <rFont val="Calibri"/>
        <family val="2"/>
        <scheme val="minor"/>
      </rPr>
      <t xml:space="preserve">4.2 MACROECONOMÍA: </t>
    </r>
    <r>
      <rPr>
        <sz val="11"/>
        <color theme="1"/>
        <rFont val="Calibri"/>
        <family val="2"/>
        <scheme val="minor"/>
      </rPr>
      <t xml:space="preserve">Se entregan los supuestos macroeconómicos del modelo actual. Desde el Índice de Precios al Consumidor (IPC), Producto Interno Bruto (PIB) y la Devaluación del peso colombiano frente al dolar de Estados Unidos.
</t>
    </r>
    <r>
      <rPr>
        <b/>
        <sz val="11"/>
        <color theme="1"/>
        <rFont val="Calibri"/>
        <family val="2"/>
        <scheme val="minor"/>
      </rPr>
      <t xml:space="preserve">4.3 MANO DE OBRA: </t>
    </r>
    <r>
      <rPr>
        <sz val="11"/>
        <color theme="1"/>
        <rFont val="Calibri"/>
        <family val="2"/>
        <scheme val="minor"/>
      </rPr>
      <t xml:space="preserve">Visualizará los cargos que requiere para su comunidad energética ya constituida y lo que le costará mensualmente no solo en salarios sino en prestaciones y seguridad social.
</t>
    </r>
    <r>
      <rPr>
        <b/>
        <sz val="11"/>
        <color theme="1"/>
        <rFont val="Calibri"/>
        <family val="2"/>
        <scheme val="minor"/>
      </rPr>
      <t xml:space="preserve">5. MÓDULO DE ANÁLISIS FINANCIERO
5.1 ESTADO DE RESULTADOS: </t>
    </r>
    <r>
      <rPr>
        <sz val="11"/>
        <color theme="1"/>
        <rFont val="Calibri"/>
        <family val="2"/>
        <scheme val="minor"/>
      </rPr>
      <t xml:space="preserve">Muestra ingresos, costos, gastos, impuestos y utilidades.
</t>
    </r>
    <r>
      <rPr>
        <b/>
        <sz val="11"/>
        <color theme="1"/>
        <rFont val="Calibri"/>
        <family val="2"/>
        <scheme val="minor"/>
      </rPr>
      <t xml:space="preserve">5.2 PRESUPUESTO DE EFECTIVO: </t>
    </r>
    <r>
      <rPr>
        <sz val="11"/>
        <color theme="1"/>
        <rFont val="Calibri"/>
        <family val="2"/>
        <scheme val="minor"/>
      </rPr>
      <t xml:space="preserve">Se enseña los ingresos y salidas reales de la operación mostrando la caja año tras año.
</t>
    </r>
    <r>
      <rPr>
        <b/>
        <sz val="11"/>
        <color theme="1"/>
        <rFont val="Calibri"/>
        <family val="2"/>
        <scheme val="minor"/>
      </rPr>
      <t xml:space="preserve">5.3 ESTADO DE SITUACIÓN FINANCIERA: </t>
    </r>
    <r>
      <rPr>
        <sz val="11"/>
        <color theme="1"/>
        <rFont val="Calibri"/>
        <family val="2"/>
        <scheme val="minor"/>
      </rPr>
      <t xml:space="preserve">Visualizará la composición del activo entre sus accionistas o asociados y los acreedores.
</t>
    </r>
    <r>
      <rPr>
        <b/>
        <sz val="11"/>
        <color theme="1"/>
        <rFont val="Calibri"/>
        <family val="2"/>
        <scheme val="minor"/>
      </rPr>
      <t xml:space="preserve">Punto de equilibrio/Viabilidad: </t>
    </r>
    <r>
      <rPr>
        <sz val="11"/>
        <color theme="1"/>
        <rFont val="Calibri"/>
        <family val="2"/>
        <scheme val="minor"/>
      </rPr>
      <t xml:space="preserve">Mostrará como alcanzar los ingresos necesarios para que se puedan cubrir todos los costos y los gastos de la operación, tanto dedicándose solo a la comunidad energética o teniendo en cuenta otros ingresos provenientes de otras actividades económicas que tenga la comunidad energética.
</t>
    </r>
    <r>
      <rPr>
        <b/>
        <sz val="11"/>
        <color theme="1"/>
        <rFont val="Calibri"/>
        <family val="2"/>
        <scheme val="minor"/>
      </rPr>
      <t xml:space="preserve">Indicadores del proyecto: </t>
    </r>
    <r>
      <rPr>
        <sz val="11"/>
        <color theme="1"/>
        <rFont val="Calibri"/>
        <family val="2"/>
        <scheme val="minor"/>
      </rPr>
      <t>Visualiza la sostenibilidad de la comunidad energética en el tiempo. Indicando si la inversión inicial realizada compensa con los flujos de caja que retornará la comunidad en el futuro, esto a través del Valor Presente Neto (VPN) y si la comunidad energética es más rentable que tener el dinero invertido debajo del colchón o puesto en un instrumento financiero, esto con la medición de la Tasa Interna de Retorno (TIR), visualizará también cuantas beneficiarios hay por cada usuario de la comunidad energética, entendiendo el usuario como ese hogar que participa de la comunidad y los beneficiarios como los que componen esos hogares, se visualizará el impacto en el ahorro y en los ingresos de los usuarios de la comunidad enérgetica en términos de dinero por generar y consumir su propia energía y por último mostrará el porcentaje que destina la comunidad energética para los temas de comunicación, divulgación, formación y capacitación con respecto a los ingresos que genera la comunidad energética.</t>
    </r>
  </si>
  <si>
    <t>PUNTO DE EQUILIBRIO / VIABILIDAD</t>
  </si>
  <si>
    <t>DATOS INGRESADOS POR EL USUARIO</t>
  </si>
  <si>
    <t>CÁLCULO DE LOS INGRESOS MÍNIMOS PARA LA VIABILIDAD DE LA COMUNIDAD</t>
  </si>
  <si>
    <t>Ingresos Energía</t>
  </si>
  <si>
    <t>PUNTO DE EQULIBRIO ENERGÍA</t>
  </si>
  <si>
    <t>Este es el punto de ingresos mínimos anuales para pagar los gastos fijos y variables de la operación</t>
  </si>
  <si>
    <t>Costos Energía</t>
  </si>
  <si>
    <t>Gastos fijos</t>
  </si>
  <si>
    <t>TARIFA MES DEL PUNTO DE EQUILIBRIO</t>
  </si>
  <si>
    <t>Esta es la tarifa que hace que la utilidad sea cero.</t>
  </si>
  <si>
    <t>Tarifa de la venta o del cobro a usuarios por ahorro</t>
  </si>
  <si>
    <t>Ingresos Totales</t>
  </si>
  <si>
    <t>PUNTO DE EQUILIBRIO TOTAL</t>
  </si>
  <si>
    <t>Este es el punto de ingresos mínimos para pagar los gastos fijos y variables de la operación</t>
  </si>
  <si>
    <t>Costos totales</t>
  </si>
  <si>
    <t>Gastos fijos totales</t>
  </si>
  <si>
    <t>TIR</t>
  </si>
  <si>
    <t>VPN</t>
  </si>
  <si>
    <t>Estos fueron los resultados del modelo con base en la información de ingresos que pusiste, incluyendo los de su actividad económica.</t>
  </si>
  <si>
    <t>INDICADORES DEL PROYECTO (FINANCIEROS Y SOCIALES)</t>
  </si>
  <si>
    <t>FLUJO DE CAJA LIBRE</t>
  </si>
  <si>
    <t>Impuestos</t>
  </si>
  <si>
    <t>UODI</t>
  </si>
  <si>
    <t>Depreciación</t>
  </si>
  <si>
    <t>Amortización</t>
  </si>
  <si>
    <t>FLUJO DE CAJA BRUTO</t>
  </si>
  <si>
    <t>Variación KT</t>
  </si>
  <si>
    <t>Variación AF</t>
  </si>
  <si>
    <t>El Valor Presente Neto me indica si los flujos futuros que genera el proyecto traídos al presente son mayores que la inversión inicial.</t>
  </si>
  <si>
    <t>AHORRO $ X USUARIO COMUNIDAD</t>
  </si>
  <si>
    <t>EN EL PRIMER AÑO</t>
  </si>
  <si>
    <t>El valor de la Tasa Interna de Retorno me indica lo que el proyecto generaría anualmente y lo comparo con la Tasa Promedio Ponderada de Capital o WAAC.</t>
  </si>
  <si>
    <t>INGRESOS X USUARIO COMUNIDAD</t>
  </si>
  <si>
    <t>FORMACIÓN/INGRESOS</t>
  </si>
  <si>
    <t>BENEFICIARIOS/USUARIOS</t>
  </si>
  <si>
    <t>PORCENTAJE</t>
  </si>
  <si>
    <t>Salarios y Prestaciones Sociales de Personal Facturable</t>
  </si>
  <si>
    <t xml:space="preserve">Salarios </t>
  </si>
  <si>
    <t>Prima anual (legal)</t>
  </si>
  <si>
    <t>Cesantía</t>
  </si>
  <si>
    <t>Intereses de cesantía</t>
  </si>
  <si>
    <t>Vacaciones</t>
  </si>
  <si>
    <t>Seguridad Social Pensión</t>
  </si>
  <si>
    <t>Seguridad Social Salud</t>
  </si>
  <si>
    <t>Caja de Compensación Familiar</t>
  </si>
  <si>
    <t>Parafiscales</t>
  </si>
  <si>
    <t>Riesgos Laborales</t>
  </si>
  <si>
    <t>Dotación</t>
  </si>
  <si>
    <t>Sub-total</t>
  </si>
  <si>
    <t>ESTADO DE SITUACIÓN FINANCIERA</t>
  </si>
  <si>
    <t>Este estado muestra los activos con los que opera la comunidad energética y como se distribuye de acuerdo a si los activos pertenecen a los accionistas o asociados de la comunidad o si pertenece a los acreedores con los que se apalanca financieramente.</t>
  </si>
  <si>
    <t>EFECTIVO</t>
  </si>
  <si>
    <t>CUENTAS POR COBRAR</t>
  </si>
  <si>
    <t>TOTAL ACTIVO CORRIENTE</t>
  </si>
  <si>
    <t>PROPIEDAD PLANTA Y EQUIPO</t>
  </si>
  <si>
    <t>TOTAL ACTIVOS FIJOS</t>
  </si>
  <si>
    <t>TOTAL ACTIVOS</t>
  </si>
  <si>
    <t>CUENTAS POR PAGAR</t>
  </si>
  <si>
    <t>OBLIGACIONES FINANCIERAS</t>
  </si>
  <si>
    <t>TOTAL PASIVOS</t>
  </si>
  <si>
    <t>CAPITAL</t>
  </si>
  <si>
    <t>UTILIDADES RETENIDAS</t>
  </si>
  <si>
    <t>UTILIDAD DEL EJERCICIO</t>
  </si>
  <si>
    <t>TOTAL PATRIMONIO</t>
  </si>
  <si>
    <t>TOTAL PASIVO MÁS PATRIMONIO</t>
  </si>
  <si>
    <t>CONTROL</t>
  </si>
  <si>
    <t>ACTIVO CORRIENTE</t>
  </si>
  <si>
    <t>ACREEDORES</t>
  </si>
  <si>
    <t>ACTIVO FIJO 1ER AÑO</t>
  </si>
  <si>
    <t>PROPIETARIOS</t>
  </si>
  <si>
    <t>SALDO INICIAL</t>
  </si>
  <si>
    <t>TASA</t>
  </si>
  <si>
    <t>PARTICIPACIÓN</t>
  </si>
  <si>
    <t>TPP</t>
  </si>
  <si>
    <t>DATOS</t>
  </si>
  <si>
    <t>INTERESES</t>
  </si>
  <si>
    <t>CUOTA</t>
  </si>
  <si>
    <t>FONDO NACIONAL</t>
  </si>
  <si>
    <t>SALVAMENTO</t>
  </si>
  <si>
    <t>GASTOS LEASING 1</t>
  </si>
  <si>
    <t>GASTOS LEASING 2</t>
  </si>
  <si>
    <t>GASTOS LEASING 3</t>
  </si>
  <si>
    <t>GASTOS LEASING</t>
  </si>
  <si>
    <t>INTERESES 1</t>
  </si>
  <si>
    <t>INTERESES 2</t>
  </si>
  <si>
    <t>INTERESES 3</t>
  </si>
  <si>
    <t>GASTOS INTERESES</t>
  </si>
  <si>
    <t>OBLIGACIONES FINANCIERAS INICIAL 1</t>
  </si>
  <si>
    <t>PAGO PERIODO 1</t>
  </si>
  <si>
    <t>OBLIGACIONES FINANCIERAS FINAL 1</t>
  </si>
  <si>
    <t>OBLIGACIONES FINANCIERAS INICIAL 2</t>
  </si>
  <si>
    <t>PAGO PERIODO 2</t>
  </si>
  <si>
    <t>OBLIGACIONES FINANCIERAS FINAL 2</t>
  </si>
  <si>
    <t>OBLIGACIONES FINANCIERAS INICIAL 3</t>
  </si>
  <si>
    <t>PAGO PERIODO 3</t>
  </si>
  <si>
    <t>OBLIGACIONES FINANCIERAS FINAL 3</t>
  </si>
  <si>
    <t>OBLIGACIONES FINANCIERAS INICIAL TOTAL</t>
  </si>
  <si>
    <t>PAGO PERIODO TOTAL</t>
  </si>
  <si>
    <t>OBLIGACIONES FINANCIERAS FINAL TOTAL</t>
  </si>
  <si>
    <t>FONDO NACIONAL 1</t>
  </si>
  <si>
    <t>FONDO NACIONAL 2</t>
  </si>
  <si>
    <t>FONDO NACIONAL 3</t>
  </si>
  <si>
    <t>TOTAL FONDO NACIONAL</t>
  </si>
  <si>
    <t>ACTIVO LEASING 1</t>
  </si>
  <si>
    <t>ACTIVO LEASING 2</t>
  </si>
  <si>
    <t>ACTIVO LEASING 3</t>
  </si>
  <si>
    <t>ACTIVO LEASING</t>
  </si>
  <si>
    <t>LEASING 1</t>
  </si>
  <si>
    <t>LEASING 2</t>
  </si>
  <si>
    <t>LEASING 3</t>
  </si>
  <si>
    <t>LEASING</t>
  </si>
  <si>
    <t>Usuarios de la comunidad</t>
  </si>
  <si>
    <t>Subsidio o contribución</t>
  </si>
  <si>
    <t>Generación de energía de la planta al mes</t>
  </si>
  <si>
    <t>Consumo promedio por usuario Kwh/mes</t>
  </si>
  <si>
    <t>Consumo promedio de la comunidad Kwh/mes</t>
  </si>
  <si>
    <t>Tarifa operador más cercano $/Kwh</t>
  </si>
  <si>
    <t>Parte sin ser subsidiada</t>
  </si>
  <si>
    <t>Valor facturado mensualmente por usuario</t>
  </si>
  <si>
    <t>Valor facturado anualmente por la comunidad</t>
  </si>
  <si>
    <t>ESTADO DE RESULTADOS PROYECTADO</t>
  </si>
  <si>
    <t>Ingreso por ahorro de la comunidad</t>
  </si>
  <si>
    <t>Ingreso por ahorro de la comunidad y venta sobrante</t>
  </si>
  <si>
    <t>Ingreso por venta de energía generada y comercializada</t>
  </si>
  <si>
    <t>Ingresos por subsidios y apoyos</t>
  </si>
  <si>
    <t>Ingresos otras actividades económicas</t>
  </si>
  <si>
    <t>TOTAL INGRESOS</t>
  </si>
  <si>
    <t>Gastos AOM</t>
  </si>
  <si>
    <t>Gastos OPEX</t>
  </si>
  <si>
    <t>Leasing</t>
  </si>
  <si>
    <t>Fondo Nacional de Garantías</t>
  </si>
  <si>
    <t>Costos y gastos otras actividades comerciales</t>
  </si>
  <si>
    <t>TOTAL GASTOS</t>
  </si>
  <si>
    <t>EBITDA</t>
  </si>
  <si>
    <t>Depreciación del periodo</t>
  </si>
  <si>
    <t>Utilidad Operativa</t>
  </si>
  <si>
    <t>Gastos financieros</t>
  </si>
  <si>
    <t>Utilidad Antes de Impuestos</t>
  </si>
  <si>
    <t>Utilidad Neta</t>
  </si>
  <si>
    <t>INGRESOS POR ENERGÍA 1ER AÑO</t>
  </si>
  <si>
    <t>MARGEN EBITDA</t>
  </si>
  <si>
    <t>El margen EBITDA me dice lo que genera la empresa para responder a sus grupos de interes</t>
  </si>
  <si>
    <t>OTROS INGRESOS 1ER AÑO</t>
  </si>
  <si>
    <t>MARGEN NETO</t>
  </si>
  <si>
    <t>El margen NETO me dice lo que contablemente queda luego de pagar impuestos</t>
  </si>
  <si>
    <t>PRESUPUESTO DE EFECTIVO</t>
  </si>
  <si>
    <t>Este presupuesto de efectivo, contempla lo que realmente entra y sale de la operación. Acá no se tienen en cuenta las depreciaciones, amortizaciones de diferidos, ni las provisiones que se hacen desde el punto de vista contable.</t>
  </si>
  <si>
    <t>INGRESOS</t>
  </si>
  <si>
    <t>TOTAL ENTRADAS</t>
  </si>
  <si>
    <t>EGRESOS</t>
  </si>
  <si>
    <t>FINANCIEROS</t>
  </si>
  <si>
    <t>IMPUESTOS</t>
  </si>
  <si>
    <t>TOTAL SALIDAS</t>
  </si>
  <si>
    <t>FLUJO DE CAJA</t>
  </si>
  <si>
    <t>PROYECCIONES MACROECONÓMICAS</t>
  </si>
  <si>
    <t>DATO</t>
  </si>
  <si>
    <t>PUEDE REVISAR</t>
  </si>
  <si>
    <t>Bajo estos supuestos se construye todo el modelo financiero y para entregar los resultados sobre su punto de equilibrio y sus indicadores financieros del proyecto y sus indicadores sociales. Se establece un horizonte a 10 años para ver lo sostenible de estas comunidades con el paso del tiempo. Es importante apuntar que este modelo financiero y económico tiene la función de proyectar su comunidad energética bajo unos supuestos. Es importante no solo contar con esta herramienta sino encontrar otras que permitan el seguimiento de lo que se trazó en este modelo financiero.</t>
  </si>
  <si>
    <t>Horizonte</t>
  </si>
  <si>
    <t>10 años</t>
  </si>
  <si>
    <t>IPC</t>
  </si>
  <si>
    <t>https://www.bancolombia.com/acerca-de/sala-prensa/noticias/resultados-corporativos/pronosticos-del-pib-2023-2024#:~:text=La%20proyecci%C3%B3n%20es%20que%20esta,2024%20en%209%2C25%25.&amp;text=En%20el%20primer%20semestre%20de,financiera%20internacional%20hacia%20nuestra%20econom%C3%ADa.</t>
  </si>
  <si>
    <t>PIB</t>
  </si>
  <si>
    <t>https://investigaciones.corficolombiana.com/documents/38211/0/20230519%20Informe%20Especial%20-%20Proyecciones%20econ%C3%B3micas%202023%20-2024.pdf/3cb44288-c13f-26ca-731c-aaa3f07d963e</t>
  </si>
  <si>
    <t>SMLMV</t>
  </si>
  <si>
    <t>https://www.asuntoslegales.com.co/consumidor/los-empleadores-estan-obligados-a-subir-el-salario-una-vez-se-determine-su-aumento-segun-lo-dispuesto-en-la-ley-colombiana-3763068#:~:text=El%20aumento%20del%20salario%20m%C3%ADnimo%20a%C3%B1o%20tras%20a%C3%B1o%20tiene%20como,gremio%20empresarial%20y%20el%20gobierno.</t>
  </si>
  <si>
    <t>Devaluación</t>
  </si>
  <si>
    <t>https://www.banrep.gov.co/es/estadisticas/tasas-de-cambio-y-sector-externo</t>
  </si>
  <si>
    <t>Tasa libre de riesgo EEUU</t>
  </si>
  <si>
    <t>Tasa de mercado EEUU</t>
  </si>
  <si>
    <t>Riesgo país</t>
  </si>
  <si>
    <t>Inflación EEUU</t>
  </si>
  <si>
    <t>Tasa impositiva</t>
  </si>
  <si>
    <t>Amortización créditos</t>
  </si>
  <si>
    <t>Francesa</t>
  </si>
  <si>
    <t>Línea recta</t>
  </si>
  <si>
    <t>INFLACIÓN</t>
  </si>
  <si>
    <t>DEVALUACIÓN</t>
  </si>
  <si>
    <t>MANO DE OBRA REQUERIDA</t>
  </si>
  <si>
    <t>CARGOS REQUERIDOS</t>
  </si>
  <si>
    <t>SALARIOS</t>
  </si>
  <si>
    <t>COSTOS</t>
  </si>
  <si>
    <t>ADMINISTRADOR</t>
  </si>
  <si>
    <t>INGENIERO</t>
  </si>
  <si>
    <t>COMUNICADOR</t>
  </si>
  <si>
    <t>AUXILIAR</t>
  </si>
  <si>
    <t>Esta es la mano de obra que la comunidad energética requiere para su funcionamiento. La comunidad debe considerar para sus costos que adicional al salario que paga, se le debe tener un factor prestacional que cubre la seguridad social y prestaciones. Adicionalmente si los colaboradores de la comunidad energética constituida como empresa ganan menos de dos salarios mínimos, se les debe pagar el auxilio de transporte.</t>
  </si>
  <si>
    <t>FECHA</t>
  </si>
  <si>
    <t>PROMEDIO</t>
  </si>
  <si>
    <t>https://sinergox.xm.com.co/trpr/Paginas/Informes/PrecioBolsaNacional.aspx</t>
  </si>
  <si>
    <t>PROMEDIO ÚLTIMOS 6 MESES</t>
  </si>
  <si>
    <t>FINANCIACIÓN, APOYOS E INCENTIVOS</t>
  </si>
  <si>
    <t>La tasa promedio ponderada del endeudamiento, me indica la tasa a la que realmente está pagando todas sus deudas. Entre más bajo, mejor para la comunidad.</t>
  </si>
  <si>
    <t>OPCIÓN COMPRA</t>
  </si>
  <si>
    <t>APLICACIÓN A FONDOS</t>
  </si>
  <si>
    <t>APLICA FAER</t>
  </si>
  <si>
    <t>APLICA FOES</t>
  </si>
  <si>
    <t>APLICA FAZNI</t>
  </si>
  <si>
    <t>FENOGE SIN REEMBOLSO</t>
  </si>
  <si>
    <t>FENOGE CON REEMBOLSO</t>
  </si>
  <si>
    <t>CONDICIÓN 1</t>
  </si>
  <si>
    <t>CONDICIÓN 2</t>
  </si>
  <si>
    <t>PUEDE ACCEDER</t>
  </si>
  <si>
    <t>EXPLICACIÓN DEL FONDO</t>
  </si>
  <si>
    <t>FAER</t>
  </si>
  <si>
    <t>El Fondo de Apoyo Financiero para la Energización de las Zonas Rurales Interconectadas – FAER –, creado por el Artículo 105 de la Ley 788 de 2002 y reglamentado con el Decreto 1122 de 2008, permite que los Entes Territoriales con el apoyo de las Empresas Prestadoras del Servicio de Energía Eléctrica en la zona de influencia, sean los gestores de planes, programas y proyectos de inversión priorizados para la construcción e instalación de la nueva infraestructura eléctrica. El objetivo es ampliar la cobertura y procurar la satisfacción de la demanda de energía en las zonas rurales interconectadas, conforme con los planes de ampliación de cobertura que estructurarán cada uno de los Operadores de Red y que deberá contar con la viabilidad de la Unidad de Planeación Minero Energética - UPME.</t>
  </si>
  <si>
    <t>FOES</t>
  </si>
  <si>
    <t>El Fondo de Energía Social – FOES – Creado mediante el artículo 118 de la Ley 812 de 2003, se estableció que el Ministerio de Minas y Energía continuará administrando el Fondo de Energía Social como un sistema especial de cuentas, con el objeto de cubrir, a partir de 2007, hasta cuarenta y seis pesos ($46) por kilovatio hora del valor de la energía eléctrica destinada al consumo de los usuarios ubicados en zonas de difícil gestión, áreas rurales de menor desarrollo y en zonas subnormales urbanas definidas por el Gobierno Nacional. No se beneficiarán de este Fondo los usuarios no regulados. (Reglamentado inicialmente mediante Decreto 4978 de 2007).</t>
  </si>
  <si>
    <t>FAZNI</t>
  </si>
  <si>
    <t>El objetivo del FAZNI es financiar los planes, programas y proyectos de inversión en infraestructura energética en las zonas no interconectadas (ZNI), de acuerdo con la ley y con las políticas de energización que para las zonas no interconectadas ha determinado el Ministerio de Minas y Energía, conforme con los lineamientos de política establecidos por el Consejo Nacional de Política Económica y Social en documentos tales como los Documentos Conpes 3108 de 2001 y 3453 de 2006, para financiar planes, programas y/o proyectos priorizados de inversión para la construcción e instalación de la nueva infraestructura eléctrica y para la reposición o la rehabilitación de la existente, con el propósito de ampliar la cobertura y procurar la satisfacción de la demanda de energía en las Zonas No Interconectadas.</t>
  </si>
  <si>
    <t>FENOGE</t>
  </si>
  <si>
    <r>
      <t xml:space="preserve">Fondo de Energías No Convencionales y Gestión Eficiente de la Energía (FENOGE), fue creado en el artículo 10 la Ley 1715 de 2014 el establece que, los recursos que nutran el Fondo podrán ser aportados por la Nación, entidades públicas o privadas, así como por organismos de carácter multilateral e internacional, el Fondo será reglamentado por el Ministerio de Minas y Energía.
Adicionalmente el mismo artículo, estipula que los recursos del fondo podrán financiar parcial o totalmente, entre otros programas y proyectos dirigidos al sector residencial de estratos 1, 2 y 3, tanto para la implementación de soluciones e autogeneración a pequeña escala, como para la mejora de eficiencia energética, igualmente se podrán financiar estudios y auditorías energéticas, adecuaciones locativas, disposición final de equipos sustituidos y costos de administración e interventoría de los programas y/o proyectos. Los recursos que entrega este fondo son </t>
    </r>
    <r>
      <rPr>
        <b/>
        <sz val="11"/>
        <color theme="1"/>
        <rFont val="Calibri"/>
        <family val="2"/>
        <scheme val="minor"/>
      </rPr>
      <t xml:space="preserve">No </t>
    </r>
    <r>
      <rPr>
        <sz val="11"/>
        <color theme="1"/>
        <rFont val="Calibri"/>
        <family val="2"/>
        <scheme val="minor"/>
      </rPr>
      <t xml:space="preserve">reembolsables si es para autoconsumo de la comunidad y </t>
    </r>
    <r>
      <rPr>
        <b/>
        <sz val="11"/>
        <color theme="1"/>
        <rFont val="Calibri"/>
        <family val="2"/>
        <scheme val="minor"/>
      </rPr>
      <t>SI</t>
    </r>
    <r>
      <rPr>
        <sz val="11"/>
        <color theme="1"/>
        <rFont val="Calibri"/>
        <family val="2"/>
        <scheme val="minor"/>
      </rPr>
      <t xml:space="preserve"> son reembolsables cuando son comerciales.</t>
    </r>
  </si>
  <si>
    <t>Industry Name</t>
  </si>
  <si>
    <t>Number of firms</t>
  </si>
  <si>
    <t>Average Unlevered Beta</t>
  </si>
  <si>
    <t>Average Levered Beta</t>
  </si>
  <si>
    <t>Average correlation with the market</t>
  </si>
  <si>
    <t>Total Unlevered Beta</t>
  </si>
  <si>
    <t>Total Levered Beta</t>
  </si>
  <si>
    <t>Advertising</t>
  </si>
  <si>
    <t>1.63</t>
  </si>
  <si>
    <t>24.78%</t>
  </si>
  <si>
    <t>5.43</t>
  </si>
  <si>
    <t>6.59</t>
  </si>
  <si>
    <t>Aerospace/Defense</t>
  </si>
  <si>
    <t>1.41</t>
  </si>
  <si>
    <t>35.48%</t>
  </si>
  <si>
    <t>3.46</t>
  </si>
  <si>
    <t>3.99</t>
  </si>
  <si>
    <t>Air Transport</t>
  </si>
  <si>
    <t>1.42</t>
  </si>
  <si>
    <t>39.97%</t>
  </si>
  <si>
    <t>1.74</t>
  </si>
  <si>
    <t>3.54</t>
  </si>
  <si>
    <t>Apparel</t>
  </si>
  <si>
    <t>1.32</t>
  </si>
  <si>
    <t>35.74%</t>
  </si>
  <si>
    <t>2.84</t>
  </si>
  <si>
    <t>3.71</t>
  </si>
  <si>
    <t>Auto &amp; Truck</t>
  </si>
  <si>
    <t>1.54</t>
  </si>
  <si>
    <t>28.60%</t>
  </si>
  <si>
    <t>4.29</t>
  </si>
  <si>
    <t>5.39</t>
  </si>
  <si>
    <t>Auto Parts</t>
  </si>
  <si>
    <t>1.47</t>
  </si>
  <si>
    <t>35.95%</t>
  </si>
  <si>
    <t>3.34</t>
  </si>
  <si>
    <t>4.10</t>
  </si>
  <si>
    <t>Bank (Money Center)</t>
  </si>
  <si>
    <t>1.08</t>
  </si>
  <si>
    <t>51.58%</t>
  </si>
  <si>
    <t>1.43</t>
  </si>
  <si>
    <t>2.09</t>
  </si>
  <si>
    <t>Banks (Regional)</t>
  </si>
  <si>
    <t>0.50</t>
  </si>
  <si>
    <t>26.37%</t>
  </si>
  <si>
    <t>1.57</t>
  </si>
  <si>
    <t>1.91</t>
  </si>
  <si>
    <t>Beverage (Alcoholic)</t>
  </si>
  <si>
    <t>1.01</t>
  </si>
  <si>
    <t>24.63%</t>
  </si>
  <si>
    <t>3.58</t>
  </si>
  <si>
    <t>4.11</t>
  </si>
  <si>
    <t>Beverage (Soft)</t>
  </si>
  <si>
    <t>1.30</t>
  </si>
  <si>
    <t>24.19%</t>
  </si>
  <si>
    <t>4.97</t>
  </si>
  <si>
    <t>Broadcasting</t>
  </si>
  <si>
    <t>29.55%</t>
  </si>
  <si>
    <t>2.38</t>
  </si>
  <si>
    <t>4.47</t>
  </si>
  <si>
    <t>Brokerage &amp; Investment Banking</t>
  </si>
  <si>
    <t>1.20</t>
  </si>
  <si>
    <t>43.27%</t>
  </si>
  <si>
    <t>1.60</t>
  </si>
  <si>
    <t>2.78</t>
  </si>
  <si>
    <t>Building Materials</t>
  </si>
  <si>
    <t>1.28</t>
  </si>
  <si>
    <t>43.06%</t>
  </si>
  <si>
    <t>2.55</t>
  </si>
  <si>
    <t>2.97</t>
  </si>
  <si>
    <t>Business &amp; Consumer Services</t>
  </si>
  <si>
    <t>1.17</t>
  </si>
  <si>
    <t>30.68%</t>
  </si>
  <si>
    <t>3.32</t>
  </si>
  <si>
    <t>3.82</t>
  </si>
  <si>
    <t>Cable TV</t>
  </si>
  <si>
    <t>1.26</t>
  </si>
  <si>
    <t>48.66%</t>
  </si>
  <si>
    <t>1.45</t>
  </si>
  <si>
    <t>2.58</t>
  </si>
  <si>
    <t>Chemical (Basic)</t>
  </si>
  <si>
    <t>1.25</t>
  </si>
  <si>
    <t>28.99%</t>
  </si>
  <si>
    <t>3.31</t>
  </si>
  <si>
    <t>4.30</t>
  </si>
  <si>
    <t>Chemical (Diversified)</t>
  </si>
  <si>
    <t>35.34%</t>
  </si>
  <si>
    <t>3.09</t>
  </si>
  <si>
    <t>4.00</t>
  </si>
  <si>
    <t>Chemical (Specialty)</t>
  </si>
  <si>
    <t>36.81%</t>
  </si>
  <si>
    <t>3.03</t>
  </si>
  <si>
    <t>3.47</t>
  </si>
  <si>
    <t>Coal &amp; Related Energy</t>
  </si>
  <si>
    <t>23.41%</t>
  </si>
  <si>
    <t>6.10</t>
  </si>
  <si>
    <t>6.20</t>
  </si>
  <si>
    <t>Computer Services</t>
  </si>
  <si>
    <t>27.68%</t>
  </si>
  <si>
    <t>3.59</t>
  </si>
  <si>
    <t>4.23</t>
  </si>
  <si>
    <t>Computers/Peripherals</t>
  </si>
  <si>
    <t>1.29</t>
  </si>
  <si>
    <t>29.41%</t>
  </si>
  <si>
    <t>4.17</t>
  </si>
  <si>
    <t>4.39</t>
  </si>
  <si>
    <t>Construction Supplies</t>
  </si>
  <si>
    <t>41.63%</t>
  </si>
  <si>
    <t>3.04</t>
  </si>
  <si>
    <t>Diversified</t>
  </si>
  <si>
    <t>1.04</t>
  </si>
  <si>
    <t>27.54%</t>
  </si>
  <si>
    <t>3.41</t>
  </si>
  <si>
    <t>3.77</t>
  </si>
  <si>
    <t>Drugs (Biotechnology)</t>
  </si>
  <si>
    <t>1.24</t>
  </si>
  <si>
    <t>22.87%</t>
  </si>
  <si>
    <t>5.24</t>
  </si>
  <si>
    <t>Drugs (Pharmaceutical)</t>
  </si>
  <si>
    <t>1.27</t>
  </si>
  <si>
    <t>20.21%</t>
  </si>
  <si>
    <t>5.84</t>
  </si>
  <si>
    <t>6.28</t>
  </si>
  <si>
    <t>Education</t>
  </si>
  <si>
    <t>1.10</t>
  </si>
  <si>
    <t>27.16%</t>
  </si>
  <si>
    <t>3.66</t>
  </si>
  <si>
    <t>4.05</t>
  </si>
  <si>
    <t>Electrical Equipment</t>
  </si>
  <si>
    <t>1.59</t>
  </si>
  <si>
    <t>28.92%</t>
  </si>
  <si>
    <t>4.95</t>
  </si>
  <si>
    <t>5.50</t>
  </si>
  <si>
    <t>Electronics (Consumer &amp; Office)</t>
  </si>
  <si>
    <t>25.89%</t>
  </si>
  <si>
    <t>6.23</t>
  </si>
  <si>
    <t>5.94</t>
  </si>
  <si>
    <t>Electronics (General)</t>
  </si>
  <si>
    <t>30.27%</t>
  </si>
  <si>
    <t>3.69</t>
  </si>
  <si>
    <t>3.97</t>
  </si>
  <si>
    <t>Engineering/Construction</t>
  </si>
  <si>
    <t>39.10%</t>
  </si>
  <si>
    <t>2.60</t>
  </si>
  <si>
    <t>3.06</t>
  </si>
  <si>
    <t>Entertainment</t>
  </si>
  <si>
    <t>20.82%</t>
  </si>
  <si>
    <t>5.99</t>
  </si>
  <si>
    <t>6.96</t>
  </si>
  <si>
    <t>Environmental &amp; Waste Services</t>
  </si>
  <si>
    <t>1.02</t>
  </si>
  <si>
    <t>21.64%</t>
  </si>
  <si>
    <t>4.69</t>
  </si>
  <si>
    <t>Farming/Agriculture</t>
  </si>
  <si>
    <t>1.14</t>
  </si>
  <si>
    <t>26.73%</t>
  </si>
  <si>
    <t>3.48</t>
  </si>
  <si>
    <t>4.27</t>
  </si>
  <si>
    <t>Financial Svcs. (Non-bank &amp; Insurance)</t>
  </si>
  <si>
    <t>0.89</t>
  </si>
  <si>
    <t>29.51%</t>
  </si>
  <si>
    <t>0.36</t>
  </si>
  <si>
    <t>3.00</t>
  </si>
  <si>
    <t>Food Processing</t>
  </si>
  <si>
    <t>0.92</t>
  </si>
  <si>
    <t>21.24%</t>
  </si>
  <si>
    <t>3.62</t>
  </si>
  <si>
    <t>4.32</t>
  </si>
  <si>
    <t>Food Wholesalers</t>
  </si>
  <si>
    <t>1.12</t>
  </si>
  <si>
    <t>36.63%</t>
  </si>
  <si>
    <t>2.31</t>
  </si>
  <si>
    <t>3.07</t>
  </si>
  <si>
    <t>Furn/Home Furnishings</t>
  </si>
  <si>
    <t>34.07%</t>
  </si>
  <si>
    <t>2.79</t>
  </si>
  <si>
    <t>3.73</t>
  </si>
  <si>
    <t>Green &amp; Renewable Energy</t>
  </si>
  <si>
    <t>22.50%</t>
  </si>
  <si>
    <t>3.90</t>
  </si>
  <si>
    <t>7.11</t>
  </si>
  <si>
    <t>Healthcare Products</t>
  </si>
  <si>
    <t>1.16</t>
  </si>
  <si>
    <t>28.74%</t>
  </si>
  <si>
    <t>4.04</t>
  </si>
  <si>
    <t>Healthcare Support Services</t>
  </si>
  <si>
    <t>26.00%</t>
  </si>
  <si>
    <t>4.12</t>
  </si>
  <si>
    <t>4.46</t>
  </si>
  <si>
    <t>Heathcare Information and Technology</t>
  </si>
  <si>
    <t>31.32%</t>
  </si>
  <si>
    <t>4.38</t>
  </si>
  <si>
    <t>4.70</t>
  </si>
  <si>
    <t>Homebuilding</t>
  </si>
  <si>
    <t>1.50</t>
  </si>
  <si>
    <t>44.61%</t>
  </si>
  <si>
    <t>2.99</t>
  </si>
  <si>
    <t>3.37</t>
  </si>
  <si>
    <t>Hospitals/Healthcare Facilities</t>
  </si>
  <si>
    <t>2.46</t>
  </si>
  <si>
    <t>Hotel/Gaming</t>
  </si>
  <si>
    <t>1.46</t>
  </si>
  <si>
    <t>37.47%</t>
  </si>
  <si>
    <t>2.83</t>
  </si>
  <si>
    <t>Household Products</t>
  </si>
  <si>
    <t>20.08%</t>
  </si>
  <si>
    <t>5.27</t>
  </si>
  <si>
    <t>5.75</t>
  </si>
  <si>
    <t>Information Services</t>
  </si>
  <si>
    <t>1.40</t>
  </si>
  <si>
    <t>38.24%</t>
  </si>
  <si>
    <t>3.49</t>
  </si>
  <si>
    <t>3.67</t>
  </si>
  <si>
    <t>Insurance (General)</t>
  </si>
  <si>
    <t>1.23</t>
  </si>
  <si>
    <t>40.78%</t>
  </si>
  <si>
    <t>2.52</t>
  </si>
  <si>
    <t>3.01</t>
  </si>
  <si>
    <t>Insurance (Life)</t>
  </si>
  <si>
    <t>0.94</t>
  </si>
  <si>
    <t>40.50%</t>
  </si>
  <si>
    <t>1.65</t>
  </si>
  <si>
    <t>2.32</t>
  </si>
  <si>
    <t>Insurance (Prop/Cas.)</t>
  </si>
  <si>
    <t>0.80</t>
  </si>
  <si>
    <t>35.44%</t>
  </si>
  <si>
    <t>2.06</t>
  </si>
  <si>
    <t>2.27</t>
  </si>
  <si>
    <t>Investments &amp; Asset Management</t>
  </si>
  <si>
    <t>0.62</t>
  </si>
  <si>
    <t>17.83%</t>
  </si>
  <si>
    <t>3.02</t>
  </si>
  <si>
    <t>3.50</t>
  </si>
  <si>
    <t>Machinery</t>
  </si>
  <si>
    <t>1.22</t>
  </si>
  <si>
    <t>37.91%</t>
  </si>
  <si>
    <t>2.89</t>
  </si>
  <si>
    <t>3.23</t>
  </si>
  <si>
    <t>Metals &amp; Mining</t>
  </si>
  <si>
    <t>19.15%</t>
  </si>
  <si>
    <t>6.37</t>
  </si>
  <si>
    <t>6.74</t>
  </si>
  <si>
    <t>Office Equipment &amp; Services</t>
  </si>
  <si>
    <t>1.18</t>
  </si>
  <si>
    <t>37.01%</t>
  </si>
  <si>
    <t>2.28</t>
  </si>
  <si>
    <t>3.18</t>
  </si>
  <si>
    <t>Oil/Gas (Integrated)</t>
  </si>
  <si>
    <t>0.98</t>
  </si>
  <si>
    <t>26.79%</t>
  </si>
  <si>
    <t>3.53</t>
  </si>
  <si>
    <t>3.65</t>
  </si>
  <si>
    <t>Oil/Gas (Production and Exploration)</t>
  </si>
  <si>
    <t>18.16%</t>
  </si>
  <si>
    <t>6.26</t>
  </si>
  <si>
    <t>6.92</t>
  </si>
  <si>
    <t>Oil/Gas Distribution</t>
  </si>
  <si>
    <t>0.99</t>
  </si>
  <si>
    <t>30.62%</t>
  </si>
  <si>
    <t>2.14</t>
  </si>
  <si>
    <t>3.24</t>
  </si>
  <si>
    <t>Oilfield Svcs/Equip.</t>
  </si>
  <si>
    <t>1.38</t>
  </si>
  <si>
    <t>20.61%</t>
  </si>
  <si>
    <t>5.76</t>
  </si>
  <si>
    <t>6.67</t>
  </si>
  <si>
    <t>Packaging &amp; Container</t>
  </si>
  <si>
    <t>0.95</t>
  </si>
  <si>
    <t>49.44%</t>
  </si>
  <si>
    <t>1.36</t>
  </si>
  <si>
    <t>1.93</t>
  </si>
  <si>
    <t>Paper/Forest Products</t>
  </si>
  <si>
    <t>26.40%</t>
  </si>
  <si>
    <t>4.26</t>
  </si>
  <si>
    <t>Power</t>
  </si>
  <si>
    <t>0.73</t>
  </si>
  <si>
    <t>39.32%</t>
  </si>
  <si>
    <t>1.84</t>
  </si>
  <si>
    <t>Precious Metals</t>
  </si>
  <si>
    <t>14.49%</t>
  </si>
  <si>
    <t>8.19</t>
  </si>
  <si>
    <t>8.51</t>
  </si>
  <si>
    <t>Publishing &amp; Newspapers</t>
  </si>
  <si>
    <t>1.11</t>
  </si>
  <si>
    <t>32.50%</t>
  </si>
  <si>
    <t>2.81</t>
  </si>
  <si>
    <t>3.43</t>
  </si>
  <si>
    <t>R.E.I.T.</t>
  </si>
  <si>
    <t>1.06</t>
  </si>
  <si>
    <t>48.24%</t>
  </si>
  <si>
    <t>2.20</t>
  </si>
  <si>
    <t>Real Estate (Development)</t>
  </si>
  <si>
    <t>1.52</t>
  </si>
  <si>
    <t>17.50%</t>
  </si>
  <si>
    <t>5.05</t>
  </si>
  <si>
    <t>8.67</t>
  </si>
  <si>
    <t>Real Estate (General/Diversified)</t>
  </si>
  <si>
    <t>0.79</t>
  </si>
  <si>
    <t>26.07%</t>
  </si>
  <si>
    <t>Real Estate (Operations &amp; Services)</t>
  </si>
  <si>
    <t>1.35</t>
  </si>
  <si>
    <t>26.78%</t>
  </si>
  <si>
    <t>5.02</t>
  </si>
  <si>
    <t>Recreation</t>
  </si>
  <si>
    <t>33.42%</t>
  </si>
  <si>
    <t>3.22</t>
  </si>
  <si>
    <t>4.24</t>
  </si>
  <si>
    <t>Reinsurance</t>
  </si>
  <si>
    <t>0.83</t>
  </si>
  <si>
    <t>38.60%</t>
  </si>
  <si>
    <t>2.15</t>
  </si>
  <si>
    <t>Restaurant/Dining</t>
  </si>
  <si>
    <t>34.72%</t>
  </si>
  <si>
    <t>3.36</t>
  </si>
  <si>
    <t>4.06</t>
  </si>
  <si>
    <t>Retail (Automotive)</t>
  </si>
  <si>
    <t>38.54%</t>
  </si>
  <si>
    <t>3.94</t>
  </si>
  <si>
    <t>Retail (Building Supply)</t>
  </si>
  <si>
    <t>1.79</t>
  </si>
  <si>
    <t>48.34%</t>
  </si>
  <si>
    <t>3.70</t>
  </si>
  <si>
    <t>Retail (Distributors)</t>
  </si>
  <si>
    <t>35.85%</t>
  </si>
  <si>
    <t>3.56</t>
  </si>
  <si>
    <t>Retail (General)</t>
  </si>
  <si>
    <t>47.98%</t>
  </si>
  <si>
    <t>2.54</t>
  </si>
  <si>
    <t>Retail (Grocery and Food)</t>
  </si>
  <si>
    <t>0.67</t>
  </si>
  <si>
    <t>27.61%</t>
  </si>
  <si>
    <t>1.71</t>
  </si>
  <si>
    <t>2.42</t>
  </si>
  <si>
    <t>Retail (Online)</t>
  </si>
  <si>
    <t>1.49</t>
  </si>
  <si>
    <t>29.67%</t>
  </si>
  <si>
    <t>4.57</t>
  </si>
  <si>
    <t>5.01</t>
  </si>
  <si>
    <t>Retail (Special Lines)</t>
  </si>
  <si>
    <t>1.48</t>
  </si>
  <si>
    <t>36.57%</t>
  </si>
  <si>
    <t>3.25</t>
  </si>
  <si>
    <t>4.03</t>
  </si>
  <si>
    <t>Rubber&amp; Tires</t>
  </si>
  <si>
    <t>0.84</t>
  </si>
  <si>
    <t>24.04%</t>
  </si>
  <si>
    <t>Semiconductor</t>
  </si>
  <si>
    <t>1.61</t>
  </si>
  <si>
    <t>47.26%</t>
  </si>
  <si>
    <t>3.40</t>
  </si>
  <si>
    <t>Semiconductor Equip</t>
  </si>
  <si>
    <t>1.76</t>
  </si>
  <si>
    <t>49.37%</t>
  </si>
  <si>
    <t>3.42</t>
  </si>
  <si>
    <t>Shipbuilding &amp; Marine</t>
  </si>
  <si>
    <t>29.60%</t>
  </si>
  <si>
    <t>2.64</t>
  </si>
  <si>
    <t>3.19</t>
  </si>
  <si>
    <t>Shoe</t>
  </si>
  <si>
    <t>1.33</t>
  </si>
  <si>
    <t>37.06%</t>
  </si>
  <si>
    <t>Software (Entertainment)</t>
  </si>
  <si>
    <t>24.11%</t>
  </si>
  <si>
    <t>5.63</t>
  </si>
  <si>
    <t>5.66</t>
  </si>
  <si>
    <t>Software (Internet)</t>
  </si>
  <si>
    <t>1.55</t>
  </si>
  <si>
    <t>33.27%</t>
  </si>
  <si>
    <t>4.66</t>
  </si>
  <si>
    <t>Software (System &amp; Application)</t>
  </si>
  <si>
    <t>30.96%</t>
  </si>
  <si>
    <t>4.56</t>
  </si>
  <si>
    <t>4.75</t>
  </si>
  <si>
    <t>Steel</t>
  </si>
  <si>
    <t>1.34</t>
  </si>
  <si>
    <t>33.24%</t>
  </si>
  <si>
    <t>Telecom (Wireless)</t>
  </si>
  <si>
    <t>1.03</t>
  </si>
  <si>
    <t>22.54%</t>
  </si>
  <si>
    <t>3.16</t>
  </si>
  <si>
    <t>Telecom. Equipment</t>
  </si>
  <si>
    <t>29.01%</t>
  </si>
  <si>
    <t>4.25</t>
  </si>
  <si>
    <t>Telecom. Services</t>
  </si>
  <si>
    <t>0.88</t>
  </si>
  <si>
    <t>20.36%</t>
  </si>
  <si>
    <t>2.33</t>
  </si>
  <si>
    <t>4.33</t>
  </si>
  <si>
    <t>Tobacco</t>
  </si>
  <si>
    <t>2.00</t>
  </si>
  <si>
    <t>23.61%</t>
  </si>
  <si>
    <t>7.39</t>
  </si>
  <si>
    <t>8.47</t>
  </si>
  <si>
    <t>Transportation</t>
  </si>
  <si>
    <t>39.07%</t>
  </si>
  <si>
    <t>2.37</t>
  </si>
  <si>
    <t>2.71</t>
  </si>
  <si>
    <t>Transportation (Railroads)</t>
  </si>
  <si>
    <t>60.16%</t>
  </si>
  <si>
    <t>Trucking</t>
  </si>
  <si>
    <t>40.73%</t>
  </si>
  <si>
    <t>3.79</t>
  </si>
  <si>
    <t>Utility (General)</t>
  </si>
  <si>
    <t>0.64</t>
  </si>
  <si>
    <t>44.68%</t>
  </si>
  <si>
    <t>Utility (Water)</t>
  </si>
  <si>
    <t>1.15</t>
  </si>
  <si>
    <t>33.86%</t>
  </si>
  <si>
    <t>Total Market</t>
  </si>
  <si>
    <t>28.98%</t>
  </si>
  <si>
    <t>3.05</t>
  </si>
  <si>
    <t>Total Market (without financials)</t>
  </si>
  <si>
    <t>30.14%</t>
  </si>
  <si>
    <t>3.72</t>
  </si>
  <si>
    <t>Date updated:</t>
  </si>
  <si>
    <t>Created by:</t>
  </si>
  <si>
    <t>Aswath Damodaran, adamodar@stern.nyu.edu</t>
  </si>
  <si>
    <t>What is this data?</t>
  </si>
  <si>
    <t>Historical returns: Stocks, Bonds &amp; T.Bills with premiums</t>
  </si>
  <si>
    <t>US companies</t>
  </si>
  <si>
    <t>Home Page:</t>
  </si>
  <si>
    <t>http://www.damodaran.com</t>
  </si>
  <si>
    <t>Data website:</t>
  </si>
  <si>
    <t>Companies in each industry:</t>
  </si>
  <si>
    <t>Variable definitions:</t>
  </si>
  <si>
    <t>Customized Geometric risk premium estimator</t>
  </si>
  <si>
    <t>What is your riskfree rate?</t>
  </si>
  <si>
    <t>LT</t>
    <phoneticPr fontId="0" type="noConversion"/>
  </si>
  <si>
    <t>Estimates of risk premiums from 1928, over the last 50 years and over the last 10 years</t>
  </si>
  <si>
    <t>Enter your starting year</t>
  </si>
  <si>
    <t>are provided at the bottom of this table.</t>
  </si>
  <si>
    <t>Value of stocks in starting year:</t>
  </si>
  <si>
    <t>Value of T.Bills in starting year:</t>
    <phoneticPr fontId="0" type="noConversion"/>
  </si>
  <si>
    <t>Value of T.bonds in starting year:</t>
  </si>
  <si>
    <t>Estimate of risk premium based on your inputs:</t>
  </si>
  <si>
    <t>Annual Returns on Investments in</t>
  </si>
  <si>
    <t>Value of $100 invested at start of 1928 in</t>
  </si>
  <si>
    <t>Annual Risk Premium</t>
  </si>
  <si>
    <t>Annual Real Returns</t>
  </si>
  <si>
    <t>Year</t>
  </si>
  <si>
    <t>S&amp;P 500 (includes dividends)</t>
  </si>
  <si>
    <t>3-month T.Bill</t>
  </si>
  <si>
    <t>US T. Bond</t>
  </si>
  <si>
    <t xml:space="preserve"> Baa Corporate Bond</t>
  </si>
  <si>
    <t>Real Estate</t>
  </si>
  <si>
    <t>Gold*</t>
  </si>
  <si>
    <t>S&amp;P 500 (includes dividends)3</t>
  </si>
  <si>
    <t>3-month T.Bill4</t>
  </si>
  <si>
    <t>US T. Bond5</t>
  </si>
  <si>
    <t xml:space="preserve"> Baa Corporate Bond2</t>
  </si>
  <si>
    <t>Real Estate2</t>
  </si>
  <si>
    <t>Gold2</t>
  </si>
  <si>
    <t>Stocks - Bills</t>
    <phoneticPr fontId="0" type="noConversion"/>
  </si>
  <si>
    <t>Stocks - Bonds</t>
    <phoneticPr fontId="0" type="noConversion"/>
  </si>
  <si>
    <t>Stocks - Baa Corp Bond</t>
  </si>
  <si>
    <t>Historical risk premium</t>
  </si>
  <si>
    <t>Inflation Rate</t>
  </si>
  <si>
    <t>S&amp;P 500 (includes dividends)2</t>
  </si>
  <si>
    <t>3-month T. Bill (Real)</t>
  </si>
  <si>
    <t>!0-year T.Bonds</t>
  </si>
  <si>
    <t>Baa Corp Bonds</t>
  </si>
  <si>
    <t>Real Estate3</t>
  </si>
  <si>
    <t>Gold</t>
  </si>
  <si>
    <t>Arithmetic Average Historical Return</t>
  </si>
  <si>
    <t>Risk Premium</t>
  </si>
  <si>
    <t>Standard Error</t>
    <phoneticPr fontId="0" type="noConversion"/>
  </si>
  <si>
    <t>Arithmetic Average Annual Real Return</t>
  </si>
  <si>
    <t>1928-2022</t>
  </si>
  <si>
    <t>Stocks - T.Bills</t>
  </si>
  <si>
    <t>Stocks - T.Bonds</t>
  </si>
  <si>
    <t>1973-2022</t>
  </si>
  <si>
    <t>2013-2022</t>
  </si>
  <si>
    <t>Geometric Average Historical Return</t>
  </si>
  <si>
    <t>Note</t>
  </si>
  <si>
    <t>* Prior to 1971, gold prices were fixed and with the gold standard in place, and were mostly stable.</t>
  </si>
  <si>
    <t>EMBI COLOMBIA</t>
  </si>
  <si>
    <t>%</t>
  </si>
  <si>
    <t>IBBOTSON ASOCIATION</t>
  </si>
  <si>
    <t>Size</t>
  </si>
  <si>
    <t>Premium</t>
  </si>
  <si>
    <t>Large companies  USD 3,322m &lt;</t>
  </si>
  <si>
    <t>Mid-cap companies USD 774m-USD 3,321m</t>
  </si>
  <si>
    <t>Low-cap companiers USD 202m-USD 773m</t>
  </si>
  <si>
    <t>Micro-cap USD 201m &lt;</t>
  </si>
  <si>
    <t>https://www.invenomica.com.ar/riesgo-pais-embi-america-latina-serie-historica/</t>
  </si>
  <si>
    <t>Cuadro 4. Comportamiento de la inflación y tipo de cambio</t>
  </si>
  <si>
    <t>R811C1</t>
  </si>
  <si>
    <t>Medidas de inflación</t>
  </si>
  <si>
    <t>Tasa de cambio y devaluación</t>
  </si>
  <si>
    <t>Período</t>
  </si>
  <si>
    <t>Meta de inflación 1/</t>
  </si>
  <si>
    <t>Inflación al consumidor (IPC)</t>
  </si>
  <si>
    <t>Inflación básica (IPC sin alimentos)4/</t>
  </si>
  <si>
    <t>Inflación del productor (IPP) 3/</t>
  </si>
  <si>
    <t>TRM 5/</t>
  </si>
  <si>
    <t xml:space="preserve">Devaluación nominal 5/
</t>
  </si>
  <si>
    <t>Devaluación real  2/</t>
  </si>
  <si>
    <t>Información mensual</t>
  </si>
  <si>
    <t>Información semanal</t>
  </si>
  <si>
    <t>24.74</t>
  </si>
  <si>
    <t>26.53</t>
  </si>
  <si>
    <t>21.61</t>
  </si>
  <si>
    <t>1/  A partir de 2003 se refiere al punto medio del rango meta</t>
  </si>
  <si>
    <t>2/  Obtenida como la variación porcentual anual del ITCR-IPP (NT),  índice de tasa de cambio real. Utiliza las ponderaciones no tradicionales y el IPP Oferta Interna como deflactor. Índice base 2010=100</t>
  </si>
  <si>
    <t>3/ A partir de Enero de 2015 el DANE realizó cambios metodológicos tales como un nuevo periodo base, diciembre 2014 = 100 y actualizaciones en la canasta de bienes y sus ponderadores.</t>
  </si>
  <si>
    <t xml:space="preserve">  “El DANE determinó que a partir de enero de 2021 el IPP será publicado como dato provisional, debido a que algunas fuentes de información no alcanzan a reportar los precios del mes completo. Por lo tanto, los valores serán revisados y publicados el mes siguiente cuando se tenga la totalidad de los precios como valores definitivos.”</t>
  </si>
  <si>
    <t>Nota: El Departamento Administrativo Nacional de Estadística (DANE) informó que se han corregido los resultados definitivos del Índice de Precios del Productor (IPP) para el mes de septiembre y provisionales del mes de octubre de 2023. Por lo anterior se modifican los datos que fueron publicados el 3 de noviembre.</t>
  </si>
  <si>
    <t xml:space="preserve">4/ Inflación básica (IPC sin alimentos): Excluye alimentos perecederos y procesados. La canasta de alimentos se modificó en octubre de 2020 como parte de una actualización metodológica. </t>
  </si>
  <si>
    <t>5/ Para efectos de comparación los datos corresponden a la fecha calendario.</t>
  </si>
  <si>
    <t>https://www.banrep.gov.co/es/estadisticas/precios-e-inflacion</t>
  </si>
  <si>
    <t>https://www.banrep.gov.co/es/estadisticas/trm</t>
  </si>
  <si>
    <t>Ver boletín en formato Excel</t>
  </si>
  <si>
    <t>COSTO PROMEDIO PONDERADO DEL CAPITAL (ETRUCTURA FINANCIERA DE LA COMUNIDAD)</t>
  </si>
  <si>
    <t>COSTO PROMEDIO PONDERADO DE CAPITAL 2023</t>
  </si>
  <si>
    <t>DATOS 2023</t>
  </si>
  <si>
    <t>EXPLICACIÓN</t>
  </si>
  <si>
    <t>BETA DEL SECTOR</t>
  </si>
  <si>
    <t>Riesgo del sector con respecto al mercado</t>
  </si>
  <si>
    <t>PATRIMONIO</t>
  </si>
  <si>
    <t>Metodología cálculo estructura de capital CREG</t>
  </si>
  <si>
    <t>DEUDA</t>
  </si>
  <si>
    <t>TASA IMPOSITIVA</t>
  </si>
  <si>
    <t>Artpiculo 240 del ET</t>
  </si>
  <si>
    <t>BETA DE LA COMINIDAD</t>
  </si>
  <si>
    <t>Riesgo de la comunidad con respecto al mercado</t>
  </si>
  <si>
    <t>TASA LIBRE DE RIESGO</t>
  </si>
  <si>
    <t>Promedio aritméticode los últimos 10 años de rendimientos de los Bonos del Tesoro de EEUU a 10 años</t>
  </si>
  <si>
    <t>TASA DE MERCADO</t>
  </si>
  <si>
    <t>Promedio aritmético de los últimos 10 años de rendimientos del mercado del S&amp;P 500</t>
  </si>
  <si>
    <t>PREMIO DE MERCADO</t>
  </si>
  <si>
    <t>Premio de arriesgar en el mercado vs invertir en un instrumento libre de riesgo</t>
  </si>
  <si>
    <t>TASA INVERSIONISTA EEUU</t>
  </si>
  <si>
    <t>Tasa Mínima que exige un inversionista para esta comunidad si estuviese en EEUU</t>
  </si>
  <si>
    <t>RIESGO PAÍS</t>
  </si>
  <si>
    <t>Promedio aritmético de la diferencia por tener una inversión en Colombia vs EEUU</t>
  </si>
  <si>
    <t>INFLACIÓN USD</t>
  </si>
  <si>
    <t>Variación de precios reportada en EEUU en el último periodo</t>
  </si>
  <si>
    <t>TASA INVERSIONISTA PERFILADA COLOMBIA</t>
  </si>
  <si>
    <t>Tasa Mínima que exige un inversionista para esta comunidad afectada por el país</t>
  </si>
  <si>
    <t>Promedio aritmético de la devaluación nominal de Colmbia con respecto a EEUU a 10 años</t>
  </si>
  <si>
    <t>TASA INVERSIONISTA COLOMBIA</t>
  </si>
  <si>
    <t>Tasa Mínima que exige un inversionista para esta comunidad en Colombia</t>
  </si>
  <si>
    <t>COSTO PROMEDIO PONDERADO DE LA DEUDA</t>
  </si>
  <si>
    <t>Tasa de intervención en Colombia</t>
  </si>
  <si>
    <t>ESCUDO FISCAL</t>
  </si>
  <si>
    <t>Beneficio por realizar financiación más que con recusrsos propios</t>
  </si>
  <si>
    <t>% DEUDAS</t>
  </si>
  <si>
    <t>Porcentaje que tiene en deudas con respecto a toda la inversión</t>
  </si>
  <si>
    <t>% CAPITAL PROPIO</t>
  </si>
  <si>
    <t>Porcentaje que tiene en capital propio con respecto a toda la inversión</t>
  </si>
  <si>
    <t>WACC real antes de impuestos</t>
  </si>
  <si>
    <t>Costo Promedio Ponderado de Capital. Tasa de descuento para revisar el proyecto. Según CREG.</t>
  </si>
  <si>
    <t>El costo promedio ponderado de capital muestra la tasa a la que los proyectos de la comunidad se vuelven viables. Cada ejercicio que se realice busca una rentabilidad mayor a la obtenida en el WACC para saber que genera valor para la comunidad energética. Lo ideal es que la tasa promedio ponderado de la deuda sea menor que el WACC y este a su vez menor que la tasa del inversionista.</t>
  </si>
  <si>
    <t>Beta </t>
  </si>
  <si>
    <t>D/E Ratio</t>
  </si>
  <si>
    <t>Effective Tax rate</t>
  </si>
  <si>
    <t>Unlevered beta</t>
  </si>
  <si>
    <t>Cash/Firm value</t>
  </si>
  <si>
    <t>Unlevered beta corrected for cash</t>
  </si>
  <si>
    <t>HiLo Risk</t>
  </si>
  <si>
    <t>Standard deviation of equity</t>
  </si>
  <si>
    <t>Standard deviation in operating income (last 10 years)</t>
  </si>
  <si>
    <t>Average (2020-24)</t>
  </si>
  <si>
    <t>1.37</t>
  </si>
  <si>
    <t>33.76%</t>
  </si>
  <si>
    <t>5.44%</t>
  </si>
  <si>
    <t>7.25%</t>
  </si>
  <si>
    <t>0.6204</t>
  </si>
  <si>
    <t>56.41%</t>
  </si>
  <si>
    <t>14.94%</t>
  </si>
  <si>
    <t>0.93</t>
  </si>
  <si>
    <t>0.77</t>
  </si>
  <si>
    <t>1.07</t>
  </si>
  <si>
    <t>25.46%</t>
  </si>
  <si>
    <t>7.28%</t>
  </si>
  <si>
    <t>2.90%</t>
  </si>
  <si>
    <t>0.4584</t>
  </si>
  <si>
    <t>36.40%</t>
  </si>
  <si>
    <t>19.50%</t>
  </si>
  <si>
    <t>0.91</t>
  </si>
  <si>
    <t>1.05</t>
  </si>
  <si>
    <t>162.15%</t>
  </si>
  <si>
    <t>8.62%</t>
  </si>
  <si>
    <t>10.71%</t>
  </si>
  <si>
    <t>0.5221</t>
  </si>
  <si>
    <t>44.65%</t>
  </si>
  <si>
    <t>215.30%</t>
  </si>
  <si>
    <t>0.69</t>
  </si>
  <si>
    <t>1.19</t>
  </si>
  <si>
    <t>48.76%</t>
  </si>
  <si>
    <t>10.19%</t>
  </si>
  <si>
    <t>5.89%</t>
  </si>
  <si>
    <t>0.4816</t>
  </si>
  <si>
    <t>37.04%</t>
  </si>
  <si>
    <t>0.96</t>
  </si>
  <si>
    <t>31.02%</t>
  </si>
  <si>
    <t>3.12%</t>
  </si>
  <si>
    <t>5.29%</t>
  </si>
  <si>
    <t>0.7081</t>
  </si>
  <si>
    <t>59.70%</t>
  </si>
  <si>
    <t>48.10%</t>
  </si>
  <si>
    <t>0.53</t>
  </si>
  <si>
    <t>38.44%</t>
  </si>
  <si>
    <t>14.62%</t>
  </si>
  <si>
    <t>6.92%</t>
  </si>
  <si>
    <t>0.4652</t>
  </si>
  <si>
    <t>37.07%</t>
  </si>
  <si>
    <t>20.99%</t>
  </si>
  <si>
    <t>1.09</t>
  </si>
  <si>
    <t>1.21</t>
  </si>
  <si>
    <t>216.16%</t>
  </si>
  <si>
    <t>17.69%</t>
  </si>
  <si>
    <t>37.13%</t>
  </si>
  <si>
    <t>0.3109</t>
  </si>
  <si>
    <t>22.51%</t>
  </si>
  <si>
    <t>0.56</t>
  </si>
  <si>
    <t>0.59</t>
  </si>
  <si>
    <t>0.74</t>
  </si>
  <si>
    <t>0.71</t>
  </si>
  <si>
    <t>0.46</t>
  </si>
  <si>
    <t>101.95%</t>
  </si>
  <si>
    <t>21.61%</t>
  </si>
  <si>
    <t>0.33</t>
  </si>
  <si>
    <t>0.2398</t>
  </si>
  <si>
    <t>18.68%</t>
  </si>
  <si>
    <t>75.66%</t>
  </si>
  <si>
    <t>0.43</t>
  </si>
  <si>
    <t>0.6</t>
  </si>
  <si>
    <t>0.41</t>
  </si>
  <si>
    <t>0.52</t>
  </si>
  <si>
    <t>1.13</t>
  </si>
  <si>
    <t>24.46%</t>
  </si>
  <si>
    <t>10.42%</t>
  </si>
  <si>
    <t>1.43%</t>
  </si>
  <si>
    <t>0.97</t>
  </si>
  <si>
    <t>0.5270</t>
  </si>
  <si>
    <t>49.70%</t>
  </si>
  <si>
    <t>26.87%</t>
  </si>
  <si>
    <t>0.72</t>
  </si>
  <si>
    <t>0.76</t>
  </si>
  <si>
    <t>17.12%</t>
  </si>
  <si>
    <t>6.68%</t>
  </si>
  <si>
    <t>3.51%</t>
  </si>
  <si>
    <t>0.70</t>
  </si>
  <si>
    <t>0.5619</t>
  </si>
  <si>
    <t>42.96%</t>
  </si>
  <si>
    <t>11.39%</t>
  </si>
  <si>
    <t>176.40%</t>
  </si>
  <si>
    <t>7.85%</t>
  </si>
  <si>
    <t>0.5134</t>
  </si>
  <si>
    <t>38.46%</t>
  </si>
  <si>
    <t>29.65%</t>
  </si>
  <si>
    <t>0.65</t>
  </si>
  <si>
    <t>0.81</t>
  </si>
  <si>
    <t>0.68</t>
  </si>
  <si>
    <t>226.06%</t>
  </si>
  <si>
    <t>16.84%</t>
  </si>
  <si>
    <t>24.54%</t>
  </si>
  <si>
    <t>0.55</t>
  </si>
  <si>
    <t>0.3272</t>
  </si>
  <si>
    <t>25.21%</t>
  </si>
  <si>
    <t>45.89%</t>
  </si>
  <si>
    <t>0.57</t>
  </si>
  <si>
    <t>0.61</t>
  </si>
  <si>
    <t>18.15%</t>
  </si>
  <si>
    <t>19.94%</t>
  </si>
  <si>
    <t>4.06%</t>
  </si>
  <si>
    <t>0.3866</t>
  </si>
  <si>
    <t>28.72%</t>
  </si>
  <si>
    <t>52.15%</t>
  </si>
  <si>
    <t>17.94%</t>
  </si>
  <si>
    <t>10.84%</t>
  </si>
  <si>
    <t>3.09%</t>
  </si>
  <si>
    <t>0.4878</t>
  </si>
  <si>
    <t>41.29%</t>
  </si>
  <si>
    <t>23.55%</t>
  </si>
  <si>
    <t>101.72%</t>
  </si>
  <si>
    <t>23.72%</t>
  </si>
  <si>
    <t>1.54%</t>
  </si>
  <si>
    <t>0.4199</t>
  </si>
  <si>
    <t>33.01%</t>
  </si>
  <si>
    <t>27.25%</t>
  </si>
  <si>
    <t>0.78</t>
  </si>
  <si>
    <t>0.7</t>
  </si>
  <si>
    <t>0.66</t>
  </si>
  <si>
    <t>45.68%</t>
  </si>
  <si>
    <t>8.93%</t>
  </si>
  <si>
    <t>6.65%</t>
  </si>
  <si>
    <t>0.87</t>
  </si>
  <si>
    <t>0.4855</t>
  </si>
  <si>
    <t>38.92%</t>
  </si>
  <si>
    <t>40.82%</t>
  </si>
  <si>
    <t>0.90</t>
  </si>
  <si>
    <t>69.53%</t>
  </si>
  <si>
    <t>14.89%</t>
  </si>
  <si>
    <t>8.43%</t>
  </si>
  <si>
    <t>0.3012</t>
  </si>
  <si>
    <t>37.24%</t>
  </si>
  <si>
    <t>34.91%</t>
  </si>
  <si>
    <t>26.82%</t>
  </si>
  <si>
    <t>10.40%</t>
  </si>
  <si>
    <t>3.50%</t>
  </si>
  <si>
    <t>0.4443</t>
  </si>
  <si>
    <t>36.60%</t>
  </si>
  <si>
    <t>18.60%</t>
  </si>
  <si>
    <t>0.82</t>
  </si>
  <si>
    <t>1.00</t>
  </si>
  <si>
    <t>2.62%</t>
  </si>
  <si>
    <t>12.53%</t>
  </si>
  <si>
    <t>0.5084</t>
  </si>
  <si>
    <t>55.69%</t>
  </si>
  <si>
    <t>415.49%</t>
  </si>
  <si>
    <t>29.14%</t>
  </si>
  <si>
    <t>7.78%</t>
  </si>
  <si>
    <t>4.69%</t>
  </si>
  <si>
    <t>0.86</t>
  </si>
  <si>
    <t>0.5750</t>
  </si>
  <si>
    <t>49.61%</t>
  </si>
  <si>
    <t>25.48%</t>
  </si>
  <si>
    <t>6.09%</t>
  </si>
  <si>
    <t>8.67%</t>
  </si>
  <si>
    <t>0.4390</t>
  </si>
  <si>
    <t>38.90%</t>
  </si>
  <si>
    <t>29.08%</t>
  </si>
  <si>
    <t>1.64</t>
  </si>
  <si>
    <t>16.26%</t>
  </si>
  <si>
    <t>13.94%</t>
  </si>
  <si>
    <t>1.71%</t>
  </si>
  <si>
    <t>0.85</t>
  </si>
  <si>
    <t>0.2832</t>
  </si>
  <si>
    <t>30.30%</t>
  </si>
  <si>
    <t>42.30%</t>
  </si>
  <si>
    <t>5.25%</t>
  </si>
  <si>
    <t>4.36%</t>
  </si>
  <si>
    <t>0.5455</t>
  </si>
  <si>
    <t>52.25%</t>
  </si>
  <si>
    <t>66.70%</t>
  </si>
  <si>
    <t>16.39%</t>
  </si>
  <si>
    <t>0.81%</t>
  </si>
  <si>
    <t>8.15%</t>
  </si>
  <si>
    <t>0.6317</t>
  </si>
  <si>
    <t>61.98%</t>
  </si>
  <si>
    <t>27.24%</t>
  </si>
  <si>
    <t>1.39</t>
  </si>
  <si>
    <t>16.05%</t>
  </si>
  <si>
    <t>2.89%</t>
  </si>
  <si>
    <t>0.6616</t>
  </si>
  <si>
    <t>65.30%</t>
  </si>
  <si>
    <t>19.59%</t>
  </si>
  <si>
    <t>11.15%</t>
  </si>
  <si>
    <t>6.85%</t>
  </si>
  <si>
    <t>0.5404</t>
  </si>
  <si>
    <t>43.78%</t>
  </si>
  <si>
    <t>17.18%</t>
  </si>
  <si>
    <t>21.39%</t>
  </si>
  <si>
    <t>5.66%</t>
  </si>
  <si>
    <t>6.66%</t>
  </si>
  <si>
    <t>0.6200</t>
  </si>
  <si>
    <t>54.42%</t>
  </si>
  <si>
    <t>16.70%</t>
  </si>
  <si>
    <t>1.31</t>
  </si>
  <si>
    <t>18.32%</t>
  </si>
  <si>
    <t>7.31%</t>
  </si>
  <si>
    <t>12.61%</t>
  </si>
  <si>
    <t>0.5283</t>
  </si>
  <si>
    <t>39.42%</t>
  </si>
  <si>
    <t>267.07%</t>
  </si>
  <si>
    <t>17.20%</t>
  </si>
  <si>
    <t>8.17%</t>
  </si>
  <si>
    <t>5.69%</t>
  </si>
  <si>
    <t>0.4870</t>
  </si>
  <si>
    <t>42.94%</t>
  </si>
  <si>
    <t>28.54%</t>
  </si>
  <si>
    <t>26.75%</t>
  </si>
  <si>
    <t>14.69%</t>
  </si>
  <si>
    <t>4.63%</t>
  </si>
  <si>
    <t>0.4277</t>
  </si>
  <si>
    <t>36.59%</t>
  </si>
  <si>
    <t>18.99%</t>
  </si>
  <si>
    <t>28.75%</t>
  </si>
  <si>
    <t>3.25%</t>
  </si>
  <si>
    <t>5.49%</t>
  </si>
  <si>
    <t>0.6154</t>
  </si>
  <si>
    <t>61.19%</t>
  </si>
  <si>
    <t>30.69%</t>
  </si>
  <si>
    <t>21.95%</t>
  </si>
  <si>
    <t>5.42%</t>
  </si>
  <si>
    <t>0.88%</t>
  </si>
  <si>
    <t>0.5505</t>
  </si>
  <si>
    <t>46.07%</t>
  </si>
  <si>
    <t>23.51%</t>
  </si>
  <si>
    <t>45.30%</t>
  </si>
  <si>
    <t>3.78%</t>
  </si>
  <si>
    <t>0.5790</t>
  </si>
  <si>
    <t>54.14%</t>
  </si>
  <si>
    <t>41.41%</t>
  </si>
  <si>
    <t>0.63</t>
  </si>
  <si>
    <t>Financial Svcs. (Non-bank &amp; Insuran</t>
  </si>
  <si>
    <t>342.77%</t>
  </si>
  <si>
    <t>2.81%</t>
  </si>
  <si>
    <t>0.4132</t>
  </si>
  <si>
    <t>38.10%</t>
  </si>
  <si>
    <t>40.46%</t>
  </si>
  <si>
    <t>0.10</t>
  </si>
  <si>
    <t>0.11</t>
  </si>
  <si>
    <t>0.15</t>
  </si>
  <si>
    <t>0.16</t>
  </si>
  <si>
    <t>36.79%</t>
  </si>
  <si>
    <t>9.04%</t>
  </si>
  <si>
    <t>2.56%</t>
  </si>
  <si>
    <t>0.4590</t>
  </si>
  <si>
    <t>35.52%</t>
  </si>
  <si>
    <t>11.57%</t>
  </si>
  <si>
    <t>44.63%</t>
  </si>
  <si>
    <t>15.90%</t>
  </si>
  <si>
    <t>1.57%</t>
  </si>
  <si>
    <t>0.4094</t>
  </si>
  <si>
    <t>27.30%</t>
  </si>
  <si>
    <t>29.49%</t>
  </si>
  <si>
    <t>0.8</t>
  </si>
  <si>
    <t>47.55%</t>
  </si>
  <si>
    <t>5.24%</t>
  </si>
  <si>
    <t>0.4512</t>
  </si>
  <si>
    <t>46.65%</t>
  </si>
  <si>
    <t>23.42%</t>
  </si>
  <si>
    <t>141.41%</t>
  </si>
  <si>
    <t>4.39%</t>
  </si>
  <si>
    <t>3.42%</t>
  </si>
  <si>
    <t>0.6005</t>
  </si>
  <si>
    <t>57.34%</t>
  </si>
  <si>
    <t>49.86%</t>
  </si>
  <si>
    <t>12.66%</t>
  </si>
  <si>
    <t>4.81%</t>
  </si>
  <si>
    <t>3.53%</t>
  </si>
  <si>
    <t>0.5730</t>
  </si>
  <si>
    <t>52.21%</t>
  </si>
  <si>
    <t>32.96%</t>
  </si>
  <si>
    <t>26.86%</t>
  </si>
  <si>
    <t>8.08%</t>
  </si>
  <si>
    <t>8.60%</t>
  </si>
  <si>
    <t>0.5223</t>
  </si>
  <si>
    <t>49.53%</t>
  </si>
  <si>
    <t>26.95%</t>
  </si>
  <si>
    <t>Heathcare Information and Technol</t>
  </si>
  <si>
    <t>16.07%</t>
  </si>
  <si>
    <t>3.11%</t>
  </si>
  <si>
    <t>4.20%</t>
  </si>
  <si>
    <t>0.5607</t>
  </si>
  <si>
    <t>54.15%</t>
  </si>
  <si>
    <t>50.83%</t>
  </si>
  <si>
    <t>0.75</t>
  </si>
  <si>
    <t>16.42%</t>
  </si>
  <si>
    <t>17.22%</t>
  </si>
  <si>
    <t>9.92%</t>
  </si>
  <si>
    <t>0.4785</t>
  </si>
  <si>
    <t>32.31%</t>
  </si>
  <si>
    <t>75.83%</t>
  </si>
  <si>
    <t>79.74%</t>
  </si>
  <si>
    <t>6.86%</t>
  </si>
  <si>
    <t>0.5809</t>
  </si>
  <si>
    <t>46.33%</t>
  </si>
  <si>
    <t>17.04%</t>
  </si>
  <si>
    <t>48.67%</t>
  </si>
  <si>
    <t>8.63%</t>
  </si>
  <si>
    <t>6.11%</t>
  </si>
  <si>
    <t>0.4554</t>
  </si>
  <si>
    <t>40.80%</t>
  </si>
  <si>
    <t>104.49%</t>
  </si>
  <si>
    <t>1.44</t>
  </si>
  <si>
    <t>14.79%</t>
  </si>
  <si>
    <t>12.10%</t>
  </si>
  <si>
    <t>2.50%</t>
  </si>
  <si>
    <t>0.3404</t>
  </si>
  <si>
    <t>30.17%</t>
  </si>
  <si>
    <t>7.17%</t>
  </si>
  <si>
    <t>35.67%</t>
  </si>
  <si>
    <t>15.79%</t>
  </si>
  <si>
    <t>4.93%</t>
  </si>
  <si>
    <t>0.4433</t>
  </si>
  <si>
    <t>33.83%</t>
  </si>
  <si>
    <t>45.18%</t>
  </si>
  <si>
    <t>25.93%</t>
  </si>
  <si>
    <t>13.69%</t>
  </si>
  <si>
    <t>3.32%</t>
  </si>
  <si>
    <t>0.4100</t>
  </si>
  <si>
    <t>40.38%</t>
  </si>
  <si>
    <t>48.45%</t>
  </si>
  <si>
    <t>92.25%</t>
  </si>
  <si>
    <t>10.18%</t>
  </si>
  <si>
    <t>16.16%</t>
  </si>
  <si>
    <t>0.54</t>
  </si>
  <si>
    <t>0.3132</t>
  </si>
  <si>
    <t>30.85%</t>
  </si>
  <si>
    <t>23.09%</t>
  </si>
  <si>
    <t>19.38%</t>
  </si>
  <si>
    <t>12.42%</t>
  </si>
  <si>
    <t>4.47%</t>
  </si>
  <si>
    <t>0.2954</t>
  </si>
  <si>
    <t>27.40%</t>
  </si>
  <si>
    <t>29.80%</t>
  </si>
  <si>
    <t>0.58</t>
  </si>
  <si>
    <t>40.34%</t>
  </si>
  <si>
    <t>11.33%</t>
  </si>
  <si>
    <t>10.33%</t>
  </si>
  <si>
    <t>0.39</t>
  </si>
  <si>
    <t>0.2313</t>
  </si>
  <si>
    <t>15.15%</t>
  </si>
  <si>
    <t>23.34%</t>
  </si>
  <si>
    <t>16.86%</t>
  </si>
  <si>
    <t>11.73%</t>
  </si>
  <si>
    <t>2.85%</t>
  </si>
  <si>
    <t>0.4315</t>
  </si>
  <si>
    <t>33.44%</t>
  </si>
  <si>
    <t>18.51%</t>
  </si>
  <si>
    <t>15.82%</t>
  </si>
  <si>
    <t>2.00%</t>
  </si>
  <si>
    <t>5.67%</t>
  </si>
  <si>
    <t>0.6448</t>
  </si>
  <si>
    <t>60.56%</t>
  </si>
  <si>
    <t>54.71%</t>
  </si>
  <si>
    <t>52.57%</t>
  </si>
  <si>
    <t>6.76%</t>
  </si>
  <si>
    <t>0.4386</t>
  </si>
  <si>
    <t>30.28%</t>
  </si>
  <si>
    <t>17.63%</t>
  </si>
  <si>
    <t>12.50%</t>
  </si>
  <si>
    <t>21.18%</t>
  </si>
  <si>
    <t>4.80%</t>
  </si>
  <si>
    <t>0.1559</t>
  </si>
  <si>
    <t>26.44%</t>
  </si>
  <si>
    <t>107.82%</t>
  </si>
  <si>
    <t>Oil/Gas (Production and Exploratio</t>
  </si>
  <si>
    <t>23.28%</t>
  </si>
  <si>
    <t>5.61%</t>
  </si>
  <si>
    <t>3.62%</t>
  </si>
  <si>
    <t>0.5028</t>
  </si>
  <si>
    <t>46.31%</t>
  </si>
  <si>
    <t>208.46%</t>
  </si>
  <si>
    <t>70.22%</t>
  </si>
  <si>
    <t>9.25%</t>
  </si>
  <si>
    <t>2.11%</t>
  </si>
  <si>
    <t>0.3581</t>
  </si>
  <si>
    <t>32.55%</t>
  </si>
  <si>
    <t>38.82%</t>
  </si>
  <si>
    <t>32.14%</t>
  </si>
  <si>
    <t>10.88%</t>
  </si>
  <si>
    <t>7.46%</t>
  </si>
  <si>
    <t>0.4776</t>
  </si>
  <si>
    <t>43.73%</t>
  </si>
  <si>
    <t>80.50%</t>
  </si>
  <si>
    <t>71.48%</t>
  </si>
  <si>
    <t>21.57%</t>
  </si>
  <si>
    <t>4.92%</t>
  </si>
  <si>
    <t>0.2007</t>
  </si>
  <si>
    <t>22.80%</t>
  </si>
  <si>
    <t>16.13%</t>
  </si>
  <si>
    <t>1.94</t>
  </si>
  <si>
    <t>37.37%</t>
  </si>
  <si>
    <t>12.91%</t>
  </si>
  <si>
    <t>0.4489</t>
  </si>
  <si>
    <t>43.04%</t>
  </si>
  <si>
    <t>82.96%</t>
  </si>
  <si>
    <t>92.92%</t>
  </si>
  <si>
    <t>1.31%</t>
  </si>
  <si>
    <t>0.2732</t>
  </si>
  <si>
    <t>20.39%</t>
  </si>
  <si>
    <t>0.38</t>
  </si>
  <si>
    <t>0.44</t>
  </si>
  <si>
    <t>15.21%</t>
  </si>
  <si>
    <t>1.98%</t>
  </si>
  <si>
    <t>6.03%</t>
  </si>
  <si>
    <t>0.6278</t>
  </si>
  <si>
    <t>63.61%</t>
  </si>
  <si>
    <t>56.84%</t>
  </si>
  <si>
    <t>28.73%</t>
  </si>
  <si>
    <t>10.66%</t>
  </si>
  <si>
    <t>6.40%</t>
  </si>
  <si>
    <t>0.3169</t>
  </si>
  <si>
    <t>22.30%</t>
  </si>
  <si>
    <t>1.1</t>
  </si>
  <si>
    <t>79.77%</t>
  </si>
  <si>
    <t>1.97%</t>
  </si>
  <si>
    <t>0.2777</t>
  </si>
  <si>
    <t>23.59%</t>
  </si>
  <si>
    <t>20.10%</t>
  </si>
  <si>
    <t>94.10%</t>
  </si>
  <si>
    <t>1.45%</t>
  </si>
  <si>
    <t>9.15%</t>
  </si>
  <si>
    <t>0.5888</t>
  </si>
  <si>
    <t>34.24%</t>
  </si>
  <si>
    <t>76.28%</t>
  </si>
  <si>
    <t>31.88%</t>
  </si>
  <si>
    <t>13.21%</t>
  </si>
  <si>
    <t>11.26%</t>
  </si>
  <si>
    <t>0.51</t>
  </si>
  <si>
    <t>0.3477</t>
  </si>
  <si>
    <t>35.91%</t>
  </si>
  <si>
    <t>98.73%</t>
  </si>
  <si>
    <t>44.57%</t>
  </si>
  <si>
    <t>4.29%</t>
  </si>
  <si>
    <t>8.30%</t>
  </si>
  <si>
    <t>0.4821</t>
  </si>
  <si>
    <t>44.19%</t>
  </si>
  <si>
    <t>99.42%</t>
  </si>
  <si>
    <t>58.57%</t>
  </si>
  <si>
    <t>8.26%</t>
  </si>
  <si>
    <t>4.13%</t>
  </si>
  <si>
    <t>44.30%</t>
  </si>
  <si>
    <t>24.03%</t>
  </si>
  <si>
    <t>42.54%</t>
  </si>
  <si>
    <t>22.95%</t>
  </si>
  <si>
    <t>18.56%</t>
  </si>
  <si>
    <t>0.1702</t>
  </si>
  <si>
    <t>17.09%</t>
  </si>
  <si>
    <t>21.78%</t>
  </si>
  <si>
    <t>25.73%</t>
  </si>
  <si>
    <t>11.41%</t>
  </si>
  <si>
    <t>2.24%</t>
  </si>
  <si>
    <t>0.4028</t>
  </si>
  <si>
    <t>35.37%</t>
  </si>
  <si>
    <t>16.64%</t>
  </si>
  <si>
    <t>57.51%</t>
  </si>
  <si>
    <t>13.50%</t>
  </si>
  <si>
    <t>1.38%</t>
  </si>
  <si>
    <t>0.4974</t>
  </si>
  <si>
    <t>46.79%</t>
  </si>
  <si>
    <t>19.92%</t>
  </si>
  <si>
    <t>12.59%</t>
  </si>
  <si>
    <t>1.05%</t>
  </si>
  <si>
    <t>1.70</t>
  </si>
  <si>
    <t>0.4087</t>
  </si>
  <si>
    <t>45.21%</t>
  </si>
  <si>
    <t>35.75%</t>
  </si>
  <si>
    <t>32.29%</t>
  </si>
  <si>
    <t>15.76%</t>
  </si>
  <si>
    <t>2.08%</t>
  </si>
  <si>
    <t>0.4378</t>
  </si>
  <si>
    <t>37.74%</t>
  </si>
  <si>
    <t>36.36%</t>
  </si>
  <si>
    <t>13.42%</t>
  </si>
  <si>
    <t>14.58%</t>
  </si>
  <si>
    <t>3.28%</t>
  </si>
  <si>
    <t>0.4185</t>
  </si>
  <si>
    <t>38.28%</t>
  </si>
  <si>
    <t>21.76%</t>
  </si>
  <si>
    <t>0.49</t>
  </si>
  <si>
    <t>55.84%</t>
  </si>
  <si>
    <t>16.88%</t>
  </si>
  <si>
    <t>4.62%</t>
  </si>
  <si>
    <t>0.3786</t>
  </si>
  <si>
    <t>25.65%</t>
  </si>
  <si>
    <t>35.08%</t>
  </si>
  <si>
    <t>0.35</t>
  </si>
  <si>
    <t>0.21</t>
  </si>
  <si>
    <t>0.47</t>
  </si>
  <si>
    <t>0.31</t>
  </si>
  <si>
    <t>Retail (REITs)</t>
  </si>
  <si>
    <t>58.84%</t>
  </si>
  <si>
    <t>2.53%</t>
  </si>
  <si>
    <t>1.14%</t>
  </si>
  <si>
    <t>0.2340</t>
  </si>
  <si>
    <t>20.72%</t>
  </si>
  <si>
    <t>11.63%</t>
  </si>
  <si>
    <t>36.15%</t>
  </si>
  <si>
    <t>9.53%</t>
  </si>
  <si>
    <t>4.49%</t>
  </si>
  <si>
    <t>0.5098</t>
  </si>
  <si>
    <t>44.01%</t>
  </si>
  <si>
    <t>235.28%</t>
  </si>
  <si>
    <t>0.00%</t>
  </si>
  <si>
    <t>7.29%</t>
  </si>
  <si>
    <t>0.26</t>
  </si>
  <si>
    <t>0.3449</t>
  </si>
  <si>
    <t>40.77%</t>
  </si>
  <si>
    <t>52.82%</t>
  </si>
  <si>
    <t>0.45</t>
  </si>
  <si>
    <t>0.27</t>
  </si>
  <si>
    <t>0.42</t>
  </si>
  <si>
    <t>6.05%</t>
  </si>
  <si>
    <t>4.89%</t>
  </si>
  <si>
    <t>2.04%</t>
  </si>
  <si>
    <t>0.4535</t>
  </si>
  <si>
    <t>41.47%</t>
  </si>
  <si>
    <t>34.93%</t>
  </si>
  <si>
    <t>1.53</t>
  </si>
  <si>
    <t>12.14%</t>
  </si>
  <si>
    <t>4.24%</t>
  </si>
  <si>
    <t>1.51</t>
  </si>
  <si>
    <t>0.3766</t>
  </si>
  <si>
    <t>67.07%</t>
  </si>
  <si>
    <t>1.69</t>
  </si>
  <si>
    <t>29.77%</t>
  </si>
  <si>
    <t>6.74%</t>
  </si>
  <si>
    <t>3.46%</t>
  </si>
  <si>
    <t>0.3448</t>
  </si>
  <si>
    <t>45.07%</t>
  </si>
  <si>
    <t>91.44%</t>
  </si>
  <si>
    <t>8.71%</t>
  </si>
  <si>
    <t>11.31%</t>
  </si>
  <si>
    <t>4.77%</t>
  </si>
  <si>
    <t>0.4673</t>
  </si>
  <si>
    <t>36.28%</t>
  </si>
  <si>
    <t>28.18%</t>
  </si>
  <si>
    <t>3.15%</t>
  </si>
  <si>
    <t>5.11%</t>
  </si>
  <si>
    <t>2.78%</t>
  </si>
  <si>
    <t>0.6102</t>
  </si>
  <si>
    <t>52.79%</t>
  </si>
  <si>
    <t>62.14%</t>
  </si>
  <si>
    <t>1.62</t>
  </si>
  <si>
    <t>11.98%</t>
  </si>
  <si>
    <t>2.61%</t>
  </si>
  <si>
    <t>1.91%</t>
  </si>
  <si>
    <t>0.5394</t>
  </si>
  <si>
    <t>65.22%</t>
  </si>
  <si>
    <t>374.09%</t>
  </si>
  <si>
    <t>6.20%</t>
  </si>
  <si>
    <t>4.19%</t>
  </si>
  <si>
    <t>2.83%</t>
  </si>
  <si>
    <t>0.5848</t>
  </si>
  <si>
    <t>52.09%</t>
  </si>
  <si>
    <t>35.93%</t>
  </si>
  <si>
    <t>20.18%</t>
  </si>
  <si>
    <t>15.72%</t>
  </si>
  <si>
    <t>9.21%</t>
  </si>
  <si>
    <t>0.3620</t>
  </si>
  <si>
    <t>115.45%</t>
  </si>
  <si>
    <t>64.16%</t>
  </si>
  <si>
    <t>9.56%</t>
  </si>
  <si>
    <t>1.77%</t>
  </si>
  <si>
    <t>0.6313</t>
  </si>
  <si>
    <t>60.31%</t>
  </si>
  <si>
    <t>70.80%</t>
  </si>
  <si>
    <t>0.60</t>
  </si>
  <si>
    <t>0.5647</t>
  </si>
  <si>
    <t>46.62%</t>
  </si>
  <si>
    <t>11.85%</t>
  </si>
  <si>
    <t>124.91%</t>
  </si>
  <si>
    <t>6.62%</t>
  </si>
  <si>
    <t>2.19%</t>
  </si>
  <si>
    <t>0.5662</t>
  </si>
  <si>
    <t>50.42%</t>
  </si>
  <si>
    <t>14.96%</t>
  </si>
  <si>
    <t>34.90%</t>
  </si>
  <si>
    <t>9.95%</t>
  </si>
  <si>
    <t>1.78%</t>
  </si>
  <si>
    <t>0.5792</t>
  </si>
  <si>
    <t>48.00%</t>
  </si>
  <si>
    <t>8.73%</t>
  </si>
  <si>
    <t>6.99%</t>
  </si>
  <si>
    <t>0.6222</t>
  </si>
  <si>
    <t>56.20%</t>
  </si>
  <si>
    <t>43.54%</t>
  </si>
  <si>
    <t>26.81%</t>
  </si>
  <si>
    <t>17.28%</t>
  </si>
  <si>
    <t>1.06%</t>
  </si>
  <si>
    <t>0.1868</t>
  </si>
  <si>
    <t>22.28%</t>
  </si>
  <si>
    <t>13.49%</t>
  </si>
  <si>
    <t>1.89</t>
  </si>
  <si>
    <t>19.95%</t>
  </si>
  <si>
    <t>2.94%</t>
  </si>
  <si>
    <t>0.3430</t>
  </si>
  <si>
    <t>28.33%</t>
  </si>
  <si>
    <t>42.22%</t>
  </si>
  <si>
    <t>84.84%</t>
  </si>
  <si>
    <t>14.05%</t>
  </si>
  <si>
    <t>0.58%</t>
  </si>
  <si>
    <t>0.1505</t>
  </si>
  <si>
    <t>14.93%</t>
  </si>
  <si>
    <t>9.83%</t>
  </si>
  <si>
    <t>0.19</t>
  </si>
  <si>
    <t>0.48</t>
  </si>
  <si>
    <t>50.89%</t>
  </si>
  <si>
    <t>11.09%</t>
  </si>
  <si>
    <t>1.07%</t>
  </si>
  <si>
    <t>0.2951</t>
  </si>
  <si>
    <t>42.03%</t>
  </si>
  <si>
    <t>15.08%</t>
  </si>
  <si>
    <t>46.42%</t>
  </si>
  <si>
    <t>8.35%</t>
  </si>
  <si>
    <t>6.13%</t>
  </si>
  <si>
    <t>0.4722</t>
  </si>
  <si>
    <t>23.07%</t>
  </si>
  <si>
    <t>6.81%</t>
  </si>
  <si>
    <t>3.49%</t>
  </si>
  <si>
    <t>0.5217</t>
  </si>
  <si>
    <t>47.06%</t>
  </si>
  <si>
    <t>23.14%</t>
  </si>
  <si>
    <t>In US Dollars</t>
  </si>
  <si>
    <t>https://pages.stern.nyu.edu/~adamodar/New_Home_Page/data.html</t>
  </si>
  <si>
    <t>https://pages.stern.nyu.edu/~adamodar/pc/datasets/indname.xls</t>
  </si>
  <si>
    <t>https://pages.stern.nyu.edu/~adamodar/New_Home_Page/datafile/variable.htm</t>
  </si>
  <si>
    <t>LT</t>
    <phoneticPr fontId="12" type="noConversion"/>
  </si>
  <si>
    <t>Value of T.Bills in starting year:</t>
    <phoneticPr fontId="12" type="noConversion"/>
  </si>
  <si>
    <t>Value of Real estate in starting year</t>
  </si>
  <si>
    <t>Value of Gold in starting year</t>
  </si>
  <si>
    <t>US T. Bond (10-year)</t>
  </si>
  <si>
    <t>Stocks - Bills</t>
    <phoneticPr fontId="12" type="noConversion"/>
  </si>
  <si>
    <t>Stocks - Bonds</t>
    <phoneticPr fontId="12" type="noConversion"/>
  </si>
  <si>
    <t>Standard Error</t>
    <phoneticPr fontId="12" type="noConversion"/>
  </si>
  <si>
    <t>1928-2023</t>
  </si>
  <si>
    <t>1974-2023</t>
  </si>
  <si>
    <t>2014-2023</t>
  </si>
  <si>
    <t>R818C1</t>
  </si>
  <si>
    <t>DESCARGO DE RESPONSABILIDAD</t>
  </si>
  <si>
    <t>El informe presentado, así como la guía desarrollada en el marco de la consultoría considera el marco normativo y regulatorio para comunidades energéticas que se ha definido en el país hasta diciembre de 2023, reflejando con precisión la información más reciente disponible en ese período. Durante el proceso de consultoría, hemos trabajado diligentemente para proporcionar un análisis exhaustivo y detallado, abarcando los aspectos más relevantes del sector eléctrico. Por lo tanto, las actualizaciones que puedan surgir al marco normativo y regulatorio del sector eléctrico, a partir de diciembre de 2023, no forman parte del alcance de consultoría realizada.</t>
  </si>
  <si>
    <t>Asimismo, se señala que los casos planteados en la guía desarrollada son ejemplos sobre el uso de la herramienta; sin embargo, cada usuario de la herramienta debe tener en cuenta que los análisis y resultados obtenidos pueden variar significativamente en función de los datos de entrada ingresados. Estos resultados están directamente relacionados con las características socio-demográficas y tecnológicas que se definan para cada proyecto de comunidad energética. Por lo tanto, se recomienda utilizar la herramienta como una guía y complementarla con análisis específicos adaptados a las circunstancias individuales de cada proyecto.</t>
  </si>
  <si>
    <t>Las opiniones que contenga este documento son parte de un ejercicio en desarrollo de identificación y análisis sectorial para consolidar acciones de transformación del sector eléctrico colombiano y no necesariamente representan la opinión oficial de una organización, entidad o empresa.</t>
  </si>
  <si>
    <t>La veracidad de los datos recopilados y utilizados en el presente documento no es puesta en duda por parte de las organizaciones participantes, no haciéndose responsable por su exactitud ni su integridad. Los análisis, proyecciones y estimaciones que se presentan en este documento reflejan distintos supuestos definidos por el grupo de trabajo, los cuales podrán o no estar sujetos a discusión.</t>
  </si>
  <si>
    <t>La información contenida en este documento de trabajo podrá ser reproducida en cualquier medio o formato siempre y cuando se mencione explícitamente a la Mesa DER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</si>
</sst>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3" formatCode="_-* #,##0.00_-;\-* #,##0.00_-;_-* &quot;-&quot;??_-;_-@_-"/>
    <numFmt numFmtId="164" formatCode="_-* #,##0_-;\-* #,##0_-;_-* &quot;-&quot;??_-;_-@_-"/>
    <numFmt numFmtId="165" formatCode="yyyy\-mm\-dd"/>
    <numFmt numFmtId="166" formatCode="&quot;$&quot;\ #,##0.00"/>
    <numFmt numFmtId="167" formatCode="&quot;$&quot;\ #,##0"/>
    <numFmt numFmtId="168" formatCode="_(&quot;$&quot;* #,##0.00_);_(&quot;$&quot;* \(#,##0.00\);_(&quot;$&quot;* &quot;-&quot;??_);_(@_)"/>
    <numFmt numFmtId="169" formatCode="mmm\-dd\-yy"/>
  </numFmts>
  <fonts count="8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10"/>
      <color theme="1"/>
      <name val="Calibri"/>
      <family val="2"/>
      <scheme val="minor"/>
    </font>
    <font>
      <sz val="9"/>
      <color theme="1"/>
      <name val="Calibri"/>
      <family val="2"/>
      <scheme val="minor"/>
    </font>
    <font>
      <b/>
      <sz val="8"/>
      <color indexed="81"/>
      <name val="Tahoma"/>
      <family val="2"/>
    </font>
    <font>
      <sz val="8"/>
      <color indexed="81"/>
      <name val="Tahoma"/>
      <family val="2"/>
    </font>
    <font>
      <i/>
      <sz val="8"/>
      <color indexed="81"/>
      <name val="Tahoma"/>
      <family val="2"/>
    </font>
    <font>
      <b/>
      <sz val="11"/>
      <name val="Calibri"/>
      <family val="2"/>
      <scheme val="minor"/>
    </font>
    <font>
      <sz val="8"/>
      <name val="Calibri"/>
      <family val="2"/>
      <scheme val="minor"/>
    </font>
    <font>
      <sz val="11"/>
      <name val="Calibri"/>
      <family val="2"/>
    </font>
    <font>
      <b/>
      <u/>
      <sz val="12"/>
      <name val="Arial"/>
      <family val="2"/>
    </font>
    <font>
      <sz val="10"/>
      <name val="Arial"/>
      <family val="2"/>
    </font>
    <font>
      <sz val="12"/>
      <name val="Arial"/>
      <family val="2"/>
    </font>
    <font>
      <b/>
      <sz val="12"/>
      <name val="Arial"/>
      <family val="2"/>
    </font>
    <font>
      <u/>
      <sz val="11"/>
      <color theme="10"/>
      <name val="Calibri"/>
      <family val="2"/>
      <scheme val="minor"/>
    </font>
    <font>
      <sz val="11"/>
      <color rgb="FF00000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sz val="48"/>
      <color theme="1"/>
      <name val="Calibri"/>
      <family val="2"/>
      <scheme val="minor"/>
    </font>
    <font>
      <b/>
      <sz val="16"/>
      <color theme="0"/>
      <name val="Calibri"/>
      <family val="2"/>
      <scheme val="minor"/>
    </font>
    <font>
      <b/>
      <sz val="36"/>
      <color theme="0"/>
      <name val="Calibri"/>
      <family val="2"/>
      <scheme val="minor"/>
    </font>
    <font>
      <sz val="11"/>
      <color theme="0" tint="-0.14999847407452621"/>
      <name val="Calibri"/>
      <family val="2"/>
      <scheme val="minor"/>
    </font>
    <font>
      <b/>
      <sz val="20"/>
      <color theme="1"/>
      <name val="Calibri"/>
      <family val="2"/>
      <scheme val="minor"/>
    </font>
    <font>
      <b/>
      <i/>
      <sz val="10"/>
      <name val="Verdana"/>
      <family val="2"/>
    </font>
    <font>
      <sz val="12"/>
      <color rgb="FF000000"/>
      <name val="Calibri"/>
      <family val="2"/>
    </font>
    <font>
      <i/>
      <sz val="7.5"/>
      <color rgb="FF000000"/>
      <name val="Times New Roman"/>
      <family val="1"/>
    </font>
    <font>
      <sz val="10"/>
      <name val="Geneva"/>
      <family val="2"/>
      <charset val="1"/>
    </font>
    <font>
      <b/>
      <sz val="12"/>
      <color rgb="FF000000"/>
      <name val="Calibri"/>
      <family val="2"/>
    </font>
    <font>
      <i/>
      <sz val="12"/>
      <color rgb="FF000000"/>
      <name val="Calibri"/>
      <family val="2"/>
    </font>
    <font>
      <sz val="12"/>
      <name val="Times"/>
      <family val="1"/>
    </font>
    <font>
      <u/>
      <sz val="10"/>
      <color indexed="12"/>
      <name val="Geneva"/>
      <family val="2"/>
      <charset val="1"/>
    </font>
    <font>
      <sz val="12"/>
      <name val="Calibri"/>
      <family val="2"/>
    </font>
    <font>
      <sz val="14"/>
      <color indexed="10"/>
      <name val="Times"/>
      <family val="1"/>
    </font>
    <font>
      <sz val="14"/>
      <color indexed="10"/>
      <name val="Geneva"/>
      <family val="2"/>
      <charset val="1"/>
    </font>
    <font>
      <i/>
      <sz val="12"/>
      <name val="Times"/>
      <family val="1"/>
    </font>
    <font>
      <b/>
      <sz val="12"/>
      <name val="Times"/>
      <family val="1"/>
    </font>
    <font>
      <i/>
      <sz val="12"/>
      <name val="Calibri"/>
      <family val="2"/>
      <scheme val="minor"/>
    </font>
    <font>
      <sz val="12"/>
      <name val="Calibri"/>
      <family val="2"/>
      <scheme val="minor"/>
    </font>
    <font>
      <b/>
      <i/>
      <sz val="12"/>
      <name val="Times"/>
      <family val="1"/>
    </font>
    <font>
      <b/>
      <sz val="12"/>
      <color theme="1"/>
      <name val="Calibri"/>
      <family val="2"/>
      <scheme val="minor"/>
    </font>
    <font>
      <b/>
      <sz val="9"/>
      <color indexed="8"/>
      <name val="Geneva"/>
      <family val="2"/>
      <charset val="1"/>
    </font>
    <font>
      <sz val="9"/>
      <color indexed="8"/>
      <name val="Geneva"/>
      <family val="2"/>
      <charset val="1"/>
    </font>
    <font>
      <b/>
      <sz val="11"/>
      <color rgb="FF202020"/>
      <name val="Raleway"/>
    </font>
    <font>
      <sz val="11"/>
      <color rgb="FF202020"/>
      <name val="Raleway"/>
    </font>
    <font>
      <b/>
      <sz val="14"/>
      <color indexed="8"/>
      <name val="Arial"/>
      <family val="2"/>
    </font>
    <font>
      <sz val="11"/>
      <color indexed="8"/>
      <name val="Arial"/>
      <family val="2"/>
    </font>
    <font>
      <b/>
      <sz val="11"/>
      <color indexed="8"/>
      <name val="Arial"/>
      <family val="2"/>
    </font>
    <font>
      <b/>
      <sz val="10"/>
      <color indexed="8"/>
      <name val="Arial"/>
      <family val="2"/>
    </font>
    <font>
      <sz val="11"/>
      <color rgb="FFFF0000"/>
      <name val="Arial"/>
      <family val="2"/>
    </font>
    <font>
      <sz val="11"/>
      <name val="Arial"/>
      <family val="2"/>
    </font>
    <font>
      <sz val="9"/>
      <color indexed="8"/>
      <name val="Arial"/>
      <family val="2"/>
    </font>
    <font>
      <sz val="9"/>
      <name val="Arial"/>
      <family val="2"/>
    </font>
    <font>
      <u/>
      <sz val="11"/>
      <color theme="10"/>
      <name val="Calibri"/>
      <family val="2"/>
    </font>
    <font>
      <u/>
      <sz val="11"/>
      <color theme="0"/>
      <name val="Calibri"/>
      <family val="2"/>
    </font>
    <font>
      <u/>
      <sz val="10"/>
      <color theme="10"/>
      <name val="Arial"/>
      <family val="2"/>
    </font>
    <font>
      <b/>
      <sz val="14"/>
      <color theme="1"/>
      <name val="Calibri"/>
      <family val="2"/>
      <scheme val="minor"/>
    </font>
    <font>
      <b/>
      <sz val="16"/>
      <color theme="1"/>
      <name val="Calibri"/>
      <family val="2"/>
      <scheme val="minor"/>
    </font>
    <font>
      <b/>
      <sz val="18"/>
      <color theme="1"/>
      <name val="Calibri"/>
      <family val="2"/>
      <scheme val="minor"/>
    </font>
    <font>
      <sz val="16"/>
      <name val="Calibri"/>
      <family val="2"/>
      <scheme val="minor"/>
    </font>
    <font>
      <b/>
      <u/>
      <sz val="16"/>
      <color theme="0"/>
      <name val="Calibri"/>
      <family val="2"/>
      <scheme val="minor"/>
    </font>
    <font>
      <b/>
      <sz val="16"/>
      <color theme="0" tint="-0.34998626667073579"/>
      <name val="Calibri"/>
      <family val="2"/>
      <scheme val="minor"/>
    </font>
    <font>
      <sz val="16"/>
      <color rgb="FFFF0000"/>
      <name val="Calibri"/>
      <family val="2"/>
      <scheme val="minor"/>
    </font>
    <font>
      <b/>
      <sz val="11"/>
      <color theme="0" tint="-4.9989318521683403E-2"/>
      <name val="Calibri"/>
      <family val="2"/>
      <scheme val="minor"/>
    </font>
    <font>
      <b/>
      <sz val="9"/>
      <color indexed="81"/>
      <name val="Tahoma"/>
      <family val="2"/>
    </font>
    <font>
      <b/>
      <sz val="9"/>
      <color theme="1"/>
      <name val="Arial"/>
      <family val="2"/>
    </font>
    <font>
      <sz val="9"/>
      <color theme="1"/>
      <name val="Arial"/>
      <family val="2"/>
    </font>
    <font>
      <sz val="8"/>
      <color theme="1"/>
      <name val="Calibri"/>
      <family val="2"/>
      <scheme val="minor"/>
    </font>
    <font>
      <sz val="10"/>
      <color theme="0"/>
      <name val="Geneva"/>
      <family val="2"/>
      <charset val="1"/>
    </font>
    <font>
      <sz val="12"/>
      <color theme="0"/>
      <name val="Times"/>
      <family val="1"/>
    </font>
    <font>
      <b/>
      <sz val="12"/>
      <color theme="0"/>
      <name val="Times"/>
      <family val="1"/>
    </font>
    <font>
      <i/>
      <sz val="12"/>
      <color theme="0"/>
      <name val="Calibri"/>
      <family val="2"/>
      <scheme val="minor"/>
    </font>
    <font>
      <sz val="12"/>
      <color theme="0"/>
      <name val="Calibri"/>
      <family val="2"/>
      <scheme val="minor"/>
    </font>
    <font>
      <sz val="11"/>
      <color indexed="8"/>
      <name val="Calibri"/>
      <family val="2"/>
    </font>
    <font>
      <sz val="11"/>
      <color theme="0" tint="-4.9989318521683403E-2"/>
      <name val="Calibri"/>
      <family val="2"/>
      <scheme val="minor"/>
    </font>
    <font>
      <b/>
      <sz val="10"/>
      <color theme="1"/>
      <name val="Calibri"/>
      <family val="2"/>
      <scheme val="minor"/>
    </font>
    <font>
      <b/>
      <sz val="8"/>
      <color theme="1"/>
      <name val="Calibri"/>
      <family val="2"/>
      <scheme val="minor"/>
    </font>
    <font>
      <u/>
      <sz val="11"/>
      <color theme="1"/>
      <name val="Calibri"/>
      <family val="2"/>
      <scheme val="minor"/>
    </font>
    <font>
      <sz val="11"/>
      <color rgb="FF000000"/>
      <name val="Cambria"/>
      <family val="1"/>
    </font>
  </fonts>
  <fills count="5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FFC000"/>
        <bgColor indexed="64"/>
      </patternFill>
    </fill>
    <fill>
      <patternFill patternType="solid">
        <fgColor rgb="FFFF9933"/>
        <bgColor indexed="64"/>
      </patternFill>
    </fill>
    <fill>
      <patternFill patternType="solid">
        <fgColor rgb="FF92D050"/>
        <bgColor indexed="64"/>
      </patternFill>
    </fill>
    <fill>
      <patternFill patternType="solid">
        <fgColor rgb="FF00B0F0"/>
        <bgColor indexed="64"/>
      </patternFill>
    </fill>
    <fill>
      <patternFill patternType="solid">
        <fgColor rgb="FFD9D9D9"/>
        <bgColor indexed="64"/>
      </patternFill>
    </fill>
    <fill>
      <patternFill patternType="solid">
        <fgColor theme="2"/>
        <bgColor rgb="FF000000"/>
      </patternFill>
    </fill>
    <fill>
      <patternFill patternType="solid">
        <fgColor indexed="1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rgb="FF7030A0"/>
        <bgColor indexed="64"/>
      </patternFill>
    </fill>
    <fill>
      <patternFill patternType="solid">
        <fgColor rgb="FFA50021"/>
        <bgColor indexed="64"/>
      </patternFill>
    </fill>
    <fill>
      <patternFill patternType="solid">
        <fgColor rgb="FFCC0000"/>
        <bgColor indexed="64"/>
      </patternFill>
    </fill>
    <fill>
      <patternFill patternType="solid">
        <fgColor rgb="FFFF5050"/>
        <bgColor indexed="64"/>
      </patternFill>
    </fill>
    <fill>
      <patternFill patternType="solid">
        <fgColor rgb="FFFF7C80"/>
        <bgColor indexed="64"/>
      </patternFill>
    </fill>
    <fill>
      <patternFill patternType="solid">
        <fgColor rgb="FFFF9999"/>
        <bgColor indexed="64"/>
      </patternFill>
    </fill>
    <fill>
      <patternFill patternType="solid">
        <fgColor rgb="FFFFCCCC"/>
        <bgColor indexed="64"/>
      </patternFill>
    </fill>
    <fill>
      <patternFill patternType="solid">
        <fgColor rgb="FFCCFFFF"/>
        <bgColor indexed="64"/>
      </patternFill>
    </fill>
    <fill>
      <patternFill patternType="solid">
        <fgColor rgb="FF66FFFF"/>
        <bgColor indexed="64"/>
      </patternFill>
    </fill>
    <fill>
      <patternFill patternType="solid">
        <fgColor rgb="FF00FFFF"/>
        <bgColor indexed="64"/>
      </patternFill>
    </fill>
    <fill>
      <patternFill patternType="solid">
        <fgColor rgb="FF33CCCC"/>
        <bgColor indexed="64"/>
      </patternFill>
    </fill>
    <fill>
      <patternFill patternType="solid">
        <fgColor rgb="FF006699"/>
        <bgColor indexed="64"/>
      </patternFill>
    </fill>
    <fill>
      <patternFill patternType="solid">
        <fgColor theme="9" tint="-0.499984740745262"/>
        <bgColor indexed="64"/>
      </patternFill>
    </fill>
    <fill>
      <patternFill patternType="solid">
        <fgColor rgb="FFC00000"/>
        <bgColor indexed="64"/>
      </patternFill>
    </fill>
    <fill>
      <patternFill patternType="solid">
        <fgColor theme="8"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FF"/>
        <bgColor indexed="64"/>
      </patternFill>
    </fill>
    <fill>
      <patternFill patternType="solid">
        <fgColor rgb="FFF4F4F4"/>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n">
        <color theme="4" tint="0.39997558519241921"/>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rgb="FF000000"/>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style="thin">
        <color theme="0"/>
      </top>
      <bottom/>
      <diagonal/>
    </border>
    <border>
      <left style="thin">
        <color theme="0"/>
      </left>
      <right style="thin">
        <color theme="0"/>
      </right>
      <top style="thin">
        <color theme="0"/>
      </top>
      <bottom style="thin">
        <color theme="0"/>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top style="thin">
        <color theme="1"/>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style="thin">
        <color indexed="64"/>
      </right>
      <top style="thin">
        <color theme="1"/>
      </top>
      <bottom style="thin">
        <color indexed="64"/>
      </bottom>
      <diagonal/>
    </border>
    <border>
      <left style="thin">
        <color theme="0"/>
      </left>
      <right style="thin">
        <color theme="0"/>
      </right>
      <top style="thin">
        <color theme="0"/>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xf numFmtId="43" fontId="15"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xf numFmtId="9" fontId="1" fillId="0" borderId="0" applyFont="0" applyFill="0" applyBorder="0" applyAlignment="0" applyProtection="0"/>
    <xf numFmtId="0" fontId="35" fillId="0" borderId="0"/>
    <xf numFmtId="0" fontId="39" fillId="0" borderId="0" applyNumberFormat="0" applyFill="0" applyBorder="0" applyAlignment="0" applyProtection="0">
      <alignment vertical="top"/>
      <protection locked="0"/>
    </xf>
    <xf numFmtId="168" fontId="35" fillId="0" borderId="0" applyFont="0" applyFill="0" applyBorder="0" applyAlignment="0" applyProtection="0"/>
    <xf numFmtId="9" fontId="35" fillId="0" borderId="0" applyFont="0" applyFill="0" applyBorder="0" applyAlignment="0" applyProtection="0"/>
    <xf numFmtId="0" fontId="20" fillId="0" borderId="0" applyNumberFormat="0" applyFill="0" applyBorder="0" applyAlignment="0" applyProtection="0"/>
    <xf numFmtId="0" fontId="61" fillId="0" borderId="0" applyNumberFormat="0" applyFill="0" applyBorder="0" applyAlignment="0" applyProtection="0">
      <alignment vertical="top"/>
      <protection locked="0"/>
    </xf>
    <xf numFmtId="9" fontId="81" fillId="0" borderId="0" applyFont="0" applyFill="0" applyBorder="0" applyAlignment="0" applyProtection="0"/>
  </cellStyleXfs>
  <cellXfs count="909">
    <xf numFmtId="0" fontId="0" fillId="0" borderId="0" xfId="0"/>
    <xf numFmtId="0" fontId="3" fillId="0" borderId="0" xfId="0" applyFont="1"/>
    <xf numFmtId="0" fontId="0" fillId="0" borderId="0" xfId="0" applyAlignment="1">
      <alignment horizontal="center"/>
    </xf>
    <xf numFmtId="164" fontId="0" fillId="0" borderId="0" xfId="1" applyNumberFormat="1" applyFont="1"/>
    <xf numFmtId="0" fontId="0" fillId="0" borderId="0" xfId="0" applyAlignment="1">
      <alignment horizontal="left" indent="1"/>
    </xf>
    <xf numFmtId="0" fontId="4" fillId="0" borderId="13" xfId="0" applyFont="1" applyBorder="1" applyAlignment="1">
      <alignment horizontal="left"/>
    </xf>
    <xf numFmtId="0" fontId="4" fillId="0" borderId="0" xfId="0" applyFont="1"/>
    <xf numFmtId="0" fontId="4" fillId="0" borderId="0" xfId="0" applyFont="1" applyAlignment="1">
      <alignment horizontal="center"/>
    </xf>
    <xf numFmtId="164" fontId="0" fillId="0" borderId="0" xfId="0" applyNumberFormat="1"/>
    <xf numFmtId="43" fontId="0" fillId="0" borderId="0" xfId="1" applyFont="1" applyAlignment="1">
      <alignment horizontal="center"/>
    </xf>
    <xf numFmtId="9" fontId="0" fillId="0" borderId="0" xfId="0" applyNumberFormat="1"/>
    <xf numFmtId="0" fontId="15" fillId="0" borderId="0" xfId="3" applyAlignment="1">
      <alignment horizontal="center" vertical="top"/>
    </xf>
    <xf numFmtId="43" fontId="15" fillId="0" borderId="0" xfId="4" applyFont="1" applyAlignment="1">
      <alignment horizontal="center"/>
    </xf>
    <xf numFmtId="0" fontId="15" fillId="0" borderId="0" xfId="3"/>
    <xf numFmtId="165" fontId="15" fillId="0" borderId="0" xfId="3" applyNumberFormat="1" applyAlignment="1">
      <alignment vertical="top"/>
    </xf>
    <xf numFmtId="43" fontId="0" fillId="0" borderId="0" xfId="4" applyFont="1"/>
    <xf numFmtId="43" fontId="15" fillId="0" borderId="0" xfId="3" applyNumberFormat="1"/>
    <xf numFmtId="43" fontId="0" fillId="0" borderId="0" xfId="0" applyNumberFormat="1"/>
    <xf numFmtId="10" fontId="0" fillId="0" borderId="0" xfId="2" applyNumberFormat="1" applyFont="1"/>
    <xf numFmtId="43" fontId="0" fillId="0" borderId="0" xfId="2" applyNumberFormat="1" applyFont="1"/>
    <xf numFmtId="10" fontId="0" fillId="0" borderId="0" xfId="0" applyNumberFormat="1"/>
    <xf numFmtId="164" fontId="4" fillId="0" borderId="0" xfId="0" applyNumberFormat="1" applyFont="1"/>
    <xf numFmtId="0" fontId="16" fillId="0" borderId="1" xfId="0" applyFont="1" applyBorder="1" applyAlignment="1">
      <alignment horizontal="right"/>
    </xf>
    <xf numFmtId="0" fontId="17" fillId="0" borderId="15" xfId="0" applyFont="1" applyBorder="1"/>
    <xf numFmtId="0" fontId="17" fillId="0" borderId="12" xfId="0" applyFont="1" applyBorder="1"/>
    <xf numFmtId="0" fontId="18" fillId="0" borderId="12" xfId="0" applyFont="1" applyBorder="1"/>
    <xf numFmtId="10" fontId="18" fillId="0" borderId="12" xfId="0" applyNumberFormat="1" applyFont="1" applyBorder="1"/>
    <xf numFmtId="10" fontId="18" fillId="0" borderId="9" xfId="0" applyNumberFormat="1" applyFont="1" applyBorder="1"/>
    <xf numFmtId="10" fontId="19" fillId="0" borderId="1" xfId="0" applyNumberFormat="1" applyFont="1" applyBorder="1"/>
    <xf numFmtId="10" fontId="18" fillId="0" borderId="10" xfId="0" applyNumberFormat="1" applyFont="1" applyBorder="1"/>
    <xf numFmtId="0" fontId="18" fillId="0" borderId="10" xfId="0" applyFont="1" applyBorder="1" applyAlignment="1">
      <alignment horizontal="left"/>
    </xf>
    <xf numFmtId="0" fontId="17" fillId="0" borderId="10" xfId="0" applyFont="1" applyBorder="1"/>
    <xf numFmtId="10" fontId="18" fillId="0" borderId="4" xfId="0" applyNumberFormat="1" applyFont="1" applyBorder="1"/>
    <xf numFmtId="10" fontId="18" fillId="0" borderId="1" xfId="0" applyNumberFormat="1" applyFont="1" applyBorder="1"/>
    <xf numFmtId="0" fontId="17" fillId="0" borderId="3" xfId="0" applyFont="1" applyBorder="1"/>
    <xf numFmtId="164" fontId="0" fillId="0" borderId="0" xfId="1" applyNumberFormat="1" applyFont="1" applyAlignment="1"/>
    <xf numFmtId="10" fontId="0" fillId="0" borderId="0" xfId="7" applyNumberFormat="1" applyFont="1"/>
    <xf numFmtId="10" fontId="4" fillId="0" borderId="0" xfId="0" applyNumberFormat="1" applyFont="1"/>
    <xf numFmtId="0" fontId="0" fillId="0" borderId="0" xfId="0" applyAlignment="1">
      <alignment vertical="center"/>
    </xf>
    <xf numFmtId="0" fontId="4" fillId="0" borderId="0" xfId="0" applyFont="1" applyAlignment="1">
      <alignment horizontal="center" vertical="center"/>
    </xf>
    <xf numFmtId="0" fontId="0" fillId="0" borderId="0" xfId="0" applyAlignment="1">
      <alignment vertical="center" wrapText="1"/>
    </xf>
    <xf numFmtId="2" fontId="0" fillId="0" borderId="0" xfId="0" applyNumberFormat="1"/>
    <xf numFmtId="0" fontId="21" fillId="0" borderId="0" xfId="0" applyFont="1"/>
    <xf numFmtId="0" fontId="0" fillId="2" borderId="0" xfId="0" applyFill="1"/>
    <xf numFmtId="0" fontId="0" fillId="2" borderId="17" xfId="0" applyFill="1" applyBorder="1"/>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22" xfId="0" applyFill="1" applyBorder="1"/>
    <xf numFmtId="0" fontId="0" fillId="2" borderId="23" xfId="0" applyFill="1" applyBorder="1"/>
    <xf numFmtId="0" fontId="0" fillId="2" borderId="24" xfId="0" applyFill="1" applyBorder="1"/>
    <xf numFmtId="0" fontId="0" fillId="4" borderId="17" xfId="0" applyFill="1" applyBorder="1"/>
    <xf numFmtId="0" fontId="0" fillId="4" borderId="18" xfId="0" applyFill="1" applyBorder="1"/>
    <xf numFmtId="0" fontId="0" fillId="4" borderId="19" xfId="0" applyFill="1" applyBorder="1"/>
    <xf numFmtId="0" fontId="0" fillId="4" borderId="20" xfId="0" applyFill="1" applyBorder="1"/>
    <xf numFmtId="0" fontId="0" fillId="4" borderId="0" xfId="0" applyFill="1"/>
    <xf numFmtId="0" fontId="0" fillId="4" borderId="21" xfId="0" applyFill="1" applyBorder="1"/>
    <xf numFmtId="0" fontId="0" fillId="4" borderId="22" xfId="0" applyFill="1" applyBorder="1"/>
    <xf numFmtId="0" fontId="0" fillId="4" borderId="23" xfId="0" applyFill="1" applyBorder="1"/>
    <xf numFmtId="0" fontId="0" fillId="4" borderId="24" xfId="0" applyFill="1" applyBorder="1"/>
    <xf numFmtId="0" fontId="0" fillId="5" borderId="17" xfId="0" applyFill="1" applyBorder="1"/>
    <xf numFmtId="0" fontId="0" fillId="5" borderId="18" xfId="0" applyFill="1" applyBorder="1"/>
    <xf numFmtId="0" fontId="0" fillId="5" borderId="19" xfId="0" applyFill="1" applyBorder="1"/>
    <xf numFmtId="0" fontId="0" fillId="5" borderId="20" xfId="0" applyFill="1" applyBorder="1"/>
    <xf numFmtId="0" fontId="0" fillId="5" borderId="0" xfId="0" applyFill="1"/>
    <xf numFmtId="0" fontId="0" fillId="5" borderId="21" xfId="0" applyFill="1" applyBorder="1"/>
    <xf numFmtId="0" fontId="0" fillId="5" borderId="22" xfId="0" applyFill="1" applyBorder="1"/>
    <xf numFmtId="0" fontId="0" fillId="5" borderId="23" xfId="0" applyFill="1" applyBorder="1"/>
    <xf numFmtId="0" fontId="0" fillId="5" borderId="24"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0" xfId="0" applyFill="1"/>
    <xf numFmtId="0" fontId="0" fillId="6" borderId="21" xfId="0" applyFill="1" applyBorder="1"/>
    <xf numFmtId="0" fontId="0" fillId="6" borderId="22" xfId="0" applyFill="1" applyBorder="1"/>
    <xf numFmtId="0" fontId="0" fillId="6" borderId="23" xfId="0" applyFill="1" applyBorder="1"/>
    <xf numFmtId="0" fontId="0" fillId="6" borderId="24" xfId="0" applyFill="1" applyBorder="1"/>
    <xf numFmtId="0" fontId="0" fillId="9" borderId="0" xfId="0" applyFill="1"/>
    <xf numFmtId="0" fontId="0" fillId="9" borderId="0" xfId="0" applyFill="1" applyAlignment="1">
      <alignment horizontal="center"/>
    </xf>
    <xf numFmtId="0" fontId="0" fillId="3" borderId="17" xfId="0" applyFill="1" applyBorder="1"/>
    <xf numFmtId="164" fontId="0" fillId="3" borderId="19" xfId="1" applyNumberFormat="1" applyFont="1" applyFill="1" applyBorder="1"/>
    <xf numFmtId="0" fontId="0" fillId="3" borderId="20" xfId="0" applyFill="1" applyBorder="1"/>
    <xf numFmtId="164" fontId="0" fillId="3" borderId="21" xfId="1" applyNumberFormat="1" applyFont="1" applyFill="1" applyBorder="1"/>
    <xf numFmtId="0" fontId="4" fillId="3" borderId="22" xfId="0" applyFont="1" applyFill="1" applyBorder="1"/>
    <xf numFmtId="0" fontId="0" fillId="9" borderId="17" xfId="0" applyFill="1" applyBorder="1"/>
    <xf numFmtId="0" fontId="0" fillId="9" borderId="18" xfId="0" applyFill="1" applyBorder="1"/>
    <xf numFmtId="0" fontId="0" fillId="9" borderId="19" xfId="0" applyFill="1" applyBorder="1"/>
    <xf numFmtId="0" fontId="0" fillId="9" borderId="21" xfId="0" applyFill="1" applyBorder="1"/>
    <xf numFmtId="0" fontId="0" fillId="9" borderId="20" xfId="0" applyFill="1" applyBorder="1"/>
    <xf numFmtId="0" fontId="0" fillId="9" borderId="22" xfId="0" applyFill="1" applyBorder="1"/>
    <xf numFmtId="0" fontId="0" fillId="9" borderId="23" xfId="0" applyFill="1" applyBorder="1"/>
    <xf numFmtId="0" fontId="0" fillId="9" borderId="24" xfId="0" applyFill="1" applyBorder="1"/>
    <xf numFmtId="10" fontId="2" fillId="13" borderId="16" xfId="0" applyNumberFormat="1" applyFont="1" applyFill="1" applyBorder="1" applyAlignment="1">
      <alignment horizontal="center"/>
    </xf>
    <xf numFmtId="10" fontId="13" fillId="12" borderId="16" xfId="0" applyNumberFormat="1" applyFont="1" applyFill="1" applyBorder="1" applyAlignment="1">
      <alignment horizontal="center"/>
    </xf>
    <xf numFmtId="164" fontId="0" fillId="9" borderId="0" xfId="0" applyNumberFormat="1" applyFill="1"/>
    <xf numFmtId="0" fontId="4" fillId="9" borderId="0" xfId="0" applyFont="1" applyFill="1"/>
    <xf numFmtId="164" fontId="4" fillId="9" borderId="0" xfId="0" applyNumberFormat="1" applyFont="1" applyFill="1"/>
    <xf numFmtId="164" fontId="0" fillId="3" borderId="19" xfId="0" applyNumberFormat="1" applyFill="1" applyBorder="1"/>
    <xf numFmtId="164" fontId="0" fillId="3" borderId="21" xfId="0" applyNumberFormat="1" applyFill="1" applyBorder="1"/>
    <xf numFmtId="0" fontId="4" fillId="3" borderId="20" xfId="0" applyFont="1" applyFill="1" applyBorder="1"/>
    <xf numFmtId="164" fontId="4" fillId="3" borderId="21" xfId="0" applyNumberFormat="1" applyFont="1" applyFill="1" applyBorder="1"/>
    <xf numFmtId="0" fontId="0" fillId="3" borderId="22" xfId="0" applyFill="1" applyBorder="1"/>
    <xf numFmtId="0" fontId="0" fillId="3" borderId="24" xfId="0" applyFill="1" applyBorder="1"/>
    <xf numFmtId="10" fontId="0" fillId="9" borderId="0" xfId="2" applyNumberFormat="1" applyFont="1" applyFill="1" applyBorder="1"/>
    <xf numFmtId="0" fontId="4" fillId="9" borderId="16" xfId="0" applyFont="1" applyFill="1" applyBorder="1" applyAlignment="1">
      <alignment horizontal="center"/>
    </xf>
    <xf numFmtId="9" fontId="13" fillId="16" borderId="16" xfId="2" applyFont="1" applyFill="1" applyBorder="1" applyAlignment="1">
      <alignment horizontal="center"/>
    </xf>
    <xf numFmtId="10" fontId="13" fillId="17" borderId="16" xfId="2" applyNumberFormat="1" applyFont="1" applyFill="1" applyBorder="1" applyAlignment="1">
      <alignment horizontal="center"/>
    </xf>
    <xf numFmtId="0" fontId="30" fillId="0" borderId="0" xfId="0" applyFont="1"/>
    <xf numFmtId="0" fontId="25" fillId="9" borderId="0" xfId="0" applyFont="1" applyFill="1" applyAlignment="1">
      <alignment horizontal="center" vertical="center"/>
    </xf>
    <xf numFmtId="166" fontId="26" fillId="9" borderId="0" xfId="0" applyNumberFormat="1" applyFont="1" applyFill="1" applyAlignment="1">
      <alignment horizontal="center" vertical="center"/>
    </xf>
    <xf numFmtId="0" fontId="24" fillId="0" borderId="16" xfId="0" applyFont="1" applyBorder="1"/>
    <xf numFmtId="164" fontId="24" fillId="0" borderId="16" xfId="1" applyNumberFormat="1" applyFont="1" applyBorder="1"/>
    <xf numFmtId="0" fontId="4" fillId="3" borderId="16" xfId="0" applyFont="1" applyFill="1" applyBorder="1" applyAlignment="1">
      <alignment horizontal="center"/>
    </xf>
    <xf numFmtId="0" fontId="4" fillId="3" borderId="26" xfId="0" applyFont="1" applyFill="1" applyBorder="1" applyAlignment="1">
      <alignment horizontal="center"/>
    </xf>
    <xf numFmtId="0" fontId="4" fillId="3" borderId="27" xfId="0" applyFont="1" applyFill="1" applyBorder="1" applyAlignment="1">
      <alignment horizontal="center"/>
    </xf>
    <xf numFmtId="0" fontId="0" fillId="3" borderId="30" xfId="0" applyFill="1" applyBorder="1"/>
    <xf numFmtId="164" fontId="0" fillId="3" borderId="16" xfId="1" applyNumberFormat="1" applyFont="1" applyFill="1" applyBorder="1"/>
    <xf numFmtId="164" fontId="0" fillId="3" borderId="17" xfId="1" applyNumberFormat="1" applyFont="1" applyFill="1" applyBorder="1"/>
    <xf numFmtId="0" fontId="0" fillId="3" borderId="16" xfId="0" applyFill="1" applyBorder="1"/>
    <xf numFmtId="0" fontId="26" fillId="9" borderId="0" xfId="0" applyFont="1" applyFill="1" applyAlignment="1">
      <alignment vertical="center" wrapText="1"/>
    </xf>
    <xf numFmtId="0" fontId="32" fillId="0" borderId="1" xfId="0" applyFont="1" applyBorder="1" applyAlignment="1">
      <alignment horizontal="left"/>
    </xf>
    <xf numFmtId="0" fontId="32" fillId="0" borderId="1" xfId="0" applyFont="1" applyBorder="1" applyAlignment="1">
      <alignment horizontal="center"/>
    </xf>
    <xf numFmtId="0" fontId="32" fillId="0" borderId="1" xfId="0" applyFont="1" applyBorder="1" applyAlignment="1">
      <alignment horizontal="center" wrapText="1"/>
    </xf>
    <xf numFmtId="0" fontId="33" fillId="18" borderId="1" xfId="0" applyFont="1" applyFill="1" applyBorder="1" applyAlignment="1">
      <alignment horizontal="left"/>
    </xf>
    <xf numFmtId="0" fontId="33" fillId="18" borderId="1" xfId="0" applyFont="1" applyFill="1" applyBorder="1" applyAlignment="1">
      <alignment horizontal="center"/>
    </xf>
    <xf numFmtId="0" fontId="33" fillId="0" borderId="1" xfId="0" applyFont="1" applyBorder="1" applyAlignment="1">
      <alignment horizontal="left"/>
    </xf>
    <xf numFmtId="0" fontId="33" fillId="0" borderId="1" xfId="0" applyFont="1" applyBorder="1" applyAlignment="1">
      <alignment horizontal="center"/>
    </xf>
    <xf numFmtId="0" fontId="33" fillId="10" borderId="1" xfId="0" applyFont="1" applyFill="1" applyBorder="1" applyAlignment="1">
      <alignment horizontal="left"/>
    </xf>
    <xf numFmtId="0" fontId="33" fillId="10" borderId="1" xfId="0" applyFont="1" applyFill="1" applyBorder="1" applyAlignment="1">
      <alignment horizontal="center"/>
    </xf>
    <xf numFmtId="0" fontId="33" fillId="16" borderId="1" xfId="0" applyFont="1" applyFill="1" applyBorder="1" applyAlignment="1">
      <alignment horizontal="center"/>
    </xf>
    <xf numFmtId="0" fontId="34" fillId="0" borderId="0" xfId="0" applyFont="1"/>
    <xf numFmtId="0" fontId="36" fillId="19" borderId="31" xfId="8" applyFont="1" applyFill="1" applyBorder="1"/>
    <xf numFmtId="0" fontId="38" fillId="0" borderId="0" xfId="8" applyFont="1"/>
    <xf numFmtId="0" fontId="38" fillId="0" borderId="0" xfId="8" applyFont="1" applyAlignment="1">
      <alignment horizontal="center"/>
    </xf>
    <xf numFmtId="0" fontId="36" fillId="19" borderId="35" xfId="8" applyFont="1" applyFill="1" applyBorder="1"/>
    <xf numFmtId="0" fontId="40" fillId="19" borderId="10" xfId="8" applyFont="1" applyFill="1" applyBorder="1" applyAlignment="1">
      <alignment horizontal="left"/>
    </xf>
    <xf numFmtId="0" fontId="33" fillId="0" borderId="0" xfId="8" applyFont="1"/>
    <xf numFmtId="0" fontId="36" fillId="19" borderId="37" xfId="8" applyFont="1" applyFill="1" applyBorder="1"/>
    <xf numFmtId="0" fontId="41" fillId="0" borderId="0" xfId="8" applyFont="1"/>
    <xf numFmtId="0" fontId="42" fillId="0" borderId="0" xfId="8" applyFont="1"/>
    <xf numFmtId="0" fontId="42" fillId="0" borderId="0" xfId="8" applyFont="1" applyAlignment="1">
      <alignment horizontal="center"/>
    </xf>
    <xf numFmtId="0" fontId="38" fillId="20" borderId="1" xfId="8" applyFont="1" applyFill="1" applyBorder="1" applyAlignment="1">
      <alignment horizontal="center"/>
    </xf>
    <xf numFmtId="0" fontId="43" fillId="0" borderId="14" xfId="8" applyFont="1" applyBorder="1"/>
    <xf numFmtId="0" fontId="38" fillId="0" borderId="11" xfId="8" applyFont="1" applyBorder="1"/>
    <xf numFmtId="0" fontId="38" fillId="0" borderId="6" xfId="8" applyFont="1" applyBorder="1"/>
    <xf numFmtId="0" fontId="43" fillId="0" borderId="15" xfId="8" applyFont="1" applyBorder="1"/>
    <xf numFmtId="0" fontId="38" fillId="0" borderId="12" xfId="8" applyFont="1" applyBorder="1"/>
    <xf numFmtId="0" fontId="38" fillId="0" borderId="9" xfId="8" applyFont="1" applyBorder="1"/>
    <xf numFmtId="168" fontId="35" fillId="16" borderId="1" xfId="10" applyFont="1" applyFill="1" applyBorder="1" applyAlignment="1">
      <alignment horizontal="center"/>
    </xf>
    <xf numFmtId="168" fontId="35" fillId="0" borderId="0" xfId="10" applyFont="1" applyFill="1" applyBorder="1" applyAlignment="1">
      <alignment horizontal="center"/>
    </xf>
    <xf numFmtId="10" fontId="38" fillId="16" borderId="30" xfId="8" applyNumberFormat="1" applyFont="1" applyFill="1" applyBorder="1" applyAlignment="1">
      <alignment horizontal="center"/>
    </xf>
    <xf numFmtId="10" fontId="38" fillId="0" borderId="0" xfId="8" applyNumberFormat="1" applyFont="1" applyAlignment="1">
      <alignment horizontal="center"/>
    </xf>
    <xf numFmtId="0" fontId="44" fillId="0" borderId="26" xfId="8" applyFont="1" applyBorder="1" applyAlignment="1">
      <alignment horizontal="center"/>
    </xf>
    <xf numFmtId="0" fontId="44" fillId="0" borderId="0" xfId="8" applyFont="1" applyAlignment="1">
      <alignment horizontal="center"/>
    </xf>
    <xf numFmtId="0" fontId="44" fillId="0" borderId="0" xfId="8" applyFont="1"/>
    <xf numFmtId="0" fontId="45" fillId="0" borderId="5" xfId="8" applyFont="1" applyBorder="1" applyAlignment="1">
      <alignment horizontal="center" wrapText="1"/>
    </xf>
    <xf numFmtId="0" fontId="46" fillId="0" borderId="5" xfId="8" applyFont="1" applyBorder="1" applyAlignment="1">
      <alignment horizontal="center" wrapText="1"/>
    </xf>
    <xf numFmtId="0" fontId="46" fillId="0" borderId="15" xfId="8" applyFont="1" applyBorder="1" applyAlignment="1">
      <alignment horizontal="center" wrapText="1"/>
    </xf>
    <xf numFmtId="0" fontId="38" fillId="0" borderId="0" xfId="8" applyFont="1" applyAlignment="1">
      <alignment wrapText="1"/>
    </xf>
    <xf numFmtId="0" fontId="46" fillId="0" borderId="1" xfId="8" applyFont="1" applyBorder="1" applyAlignment="1">
      <alignment horizontal="center"/>
    </xf>
    <xf numFmtId="10" fontId="46" fillId="0" borderId="1" xfId="8" applyNumberFormat="1" applyFont="1" applyBorder="1" applyAlignment="1">
      <alignment horizontal="center"/>
    </xf>
    <xf numFmtId="168" fontId="46" fillId="0" borderId="1" xfId="10" applyFont="1" applyBorder="1" applyAlignment="1">
      <alignment horizontal="center"/>
    </xf>
    <xf numFmtId="10" fontId="46" fillId="0" borderId="3" xfId="8" applyNumberFormat="1" applyFont="1" applyBorder="1" applyAlignment="1">
      <alignment horizontal="center"/>
    </xf>
    <xf numFmtId="0" fontId="46" fillId="0" borderId="3" xfId="8" applyFont="1" applyBorder="1" applyAlignment="1">
      <alignment horizontal="center"/>
    </xf>
    <xf numFmtId="10" fontId="0" fillId="0" borderId="0" xfId="11" applyNumberFormat="1" applyFont="1" applyAlignment="1">
      <alignment horizontal="center"/>
    </xf>
    <xf numFmtId="10" fontId="38" fillId="0" borderId="1" xfId="11" applyNumberFormat="1" applyFont="1" applyBorder="1"/>
    <xf numFmtId="10" fontId="38" fillId="0" borderId="1" xfId="8" applyNumberFormat="1" applyFont="1" applyBorder="1"/>
    <xf numFmtId="0" fontId="46" fillId="0" borderId="0" xfId="8" applyFont="1" applyAlignment="1">
      <alignment horizontal="center"/>
    </xf>
    <xf numFmtId="0" fontId="46" fillId="0" borderId="2" xfId="8" applyFont="1" applyBorder="1" applyAlignment="1">
      <alignment horizontal="center"/>
    </xf>
    <xf numFmtId="10" fontId="46" fillId="0" borderId="2" xfId="8" applyNumberFormat="1" applyFont="1" applyBorder="1" applyAlignment="1">
      <alignment horizontal="center"/>
    </xf>
    <xf numFmtId="10" fontId="46" fillId="0" borderId="14" xfId="8" applyNumberFormat="1" applyFont="1" applyBorder="1" applyAlignment="1">
      <alignment horizontal="center"/>
    </xf>
    <xf numFmtId="10" fontId="38" fillId="0" borderId="2" xfId="8" applyNumberFormat="1" applyFont="1" applyBorder="1"/>
    <xf numFmtId="168" fontId="46" fillId="0" borderId="2" xfId="10" applyFont="1" applyBorder="1" applyAlignment="1">
      <alignment horizontal="center"/>
    </xf>
    <xf numFmtId="168" fontId="46" fillId="0" borderId="7" xfId="10" applyFont="1" applyBorder="1" applyAlignment="1">
      <alignment horizontal="center"/>
    </xf>
    <xf numFmtId="168" fontId="46" fillId="0" borderId="8" xfId="10" applyFont="1" applyBorder="1" applyAlignment="1">
      <alignment horizontal="center"/>
    </xf>
    <xf numFmtId="168" fontId="46" fillId="0" borderId="41" xfId="10" applyFont="1" applyBorder="1" applyAlignment="1">
      <alignment horizontal="center"/>
    </xf>
    <xf numFmtId="0" fontId="38" fillId="0" borderId="5" xfId="8" applyFont="1" applyBorder="1" applyAlignment="1">
      <alignment horizontal="center"/>
    </xf>
    <xf numFmtId="10" fontId="35" fillId="0" borderId="5" xfId="8" applyNumberFormat="1" applyBorder="1" applyAlignment="1">
      <alignment horizontal="center"/>
    </xf>
    <xf numFmtId="10" fontId="35" fillId="0" borderId="0" xfId="8" applyNumberFormat="1" applyAlignment="1">
      <alignment horizontal="center"/>
    </xf>
    <xf numFmtId="0" fontId="38" fillId="0" borderId="5" xfId="8" applyFont="1" applyBorder="1"/>
    <xf numFmtId="0" fontId="44" fillId="0" borderId="15" xfId="8" applyFont="1" applyBorder="1" applyAlignment="1">
      <alignment horizontal="center"/>
    </xf>
    <xf numFmtId="0" fontId="48" fillId="0" borderId="5" xfId="8" applyFont="1" applyBorder="1" applyAlignment="1">
      <alignment horizontal="center" wrapText="1"/>
    </xf>
    <xf numFmtId="0" fontId="38" fillId="0" borderId="1" xfId="8" applyFont="1" applyBorder="1" applyAlignment="1">
      <alignment horizontal="center"/>
    </xf>
    <xf numFmtId="10" fontId="38" fillId="0" borderId="1" xfId="8" applyNumberFormat="1" applyFont="1" applyBorder="1" applyAlignment="1">
      <alignment horizontal="center"/>
    </xf>
    <xf numFmtId="10" fontId="35" fillId="0" borderId="1" xfId="8" applyNumberFormat="1" applyBorder="1" applyAlignment="1">
      <alignment horizontal="center"/>
    </xf>
    <xf numFmtId="0" fontId="47" fillId="0" borderId="0" xfId="8" applyFont="1"/>
    <xf numFmtId="0" fontId="35" fillId="0" borderId="0" xfId="8"/>
    <xf numFmtId="10" fontId="38" fillId="0" borderId="5" xfId="11" applyNumberFormat="1" applyFont="1" applyBorder="1" applyAlignment="1">
      <alignment horizontal="center"/>
    </xf>
    <xf numFmtId="10" fontId="38" fillId="0" borderId="0" xfId="11" applyNumberFormat="1" applyFont="1" applyBorder="1" applyAlignment="1">
      <alignment horizontal="center"/>
    </xf>
    <xf numFmtId="0" fontId="38" fillId="0" borderId="1" xfId="8" applyFont="1" applyBorder="1"/>
    <xf numFmtId="10" fontId="38" fillId="0" borderId="1" xfId="11" applyNumberFormat="1" applyFont="1" applyBorder="1" applyAlignment="1">
      <alignment horizontal="center"/>
    </xf>
    <xf numFmtId="10" fontId="38" fillId="0" borderId="0" xfId="8" applyNumberFormat="1" applyFont="1"/>
    <xf numFmtId="0" fontId="0" fillId="3" borderId="0" xfId="0" applyFill="1"/>
    <xf numFmtId="164" fontId="0" fillId="3" borderId="0" xfId="5" applyNumberFormat="1" applyFont="1" applyFill="1"/>
    <xf numFmtId="43" fontId="0" fillId="3" borderId="0" xfId="5" applyFont="1" applyFill="1"/>
    <xf numFmtId="10" fontId="0" fillId="16" borderId="0" xfId="7" applyNumberFormat="1" applyFont="1" applyFill="1"/>
    <xf numFmtId="0" fontId="51" fillId="3" borderId="1" xfId="0" applyFont="1" applyFill="1" applyBorder="1" applyAlignment="1">
      <alignment horizontal="left" vertical="center" wrapText="1" indent="1"/>
    </xf>
    <xf numFmtId="0" fontId="52" fillId="3" borderId="1" xfId="0" applyFont="1" applyFill="1" applyBorder="1" applyAlignment="1">
      <alignment horizontal="left" vertical="center" wrapText="1" indent="1"/>
    </xf>
    <xf numFmtId="10" fontId="52" fillId="3" borderId="1" xfId="7" applyNumberFormat="1" applyFont="1" applyFill="1" applyBorder="1" applyAlignment="1">
      <alignment horizontal="center" vertical="center" wrapText="1"/>
    </xf>
    <xf numFmtId="10" fontId="52" fillId="16" borderId="1" xfId="7" applyNumberFormat="1" applyFont="1" applyFill="1" applyBorder="1" applyAlignment="1">
      <alignment horizontal="center" vertical="center" wrapText="1"/>
    </xf>
    <xf numFmtId="10" fontId="0" fillId="3" borderId="0" xfId="7" applyNumberFormat="1" applyFont="1" applyFill="1"/>
    <xf numFmtId="0" fontId="20" fillId="0" borderId="0" xfId="12"/>
    <xf numFmtId="0" fontId="53" fillId="0" borderId="0" xfId="0" applyFont="1" applyAlignment="1">
      <alignment horizontal="centerContinuous"/>
    </xf>
    <xf numFmtId="0" fontId="0" fillId="0" borderId="0" xfId="0" applyAlignment="1">
      <alignment horizontal="centerContinuous"/>
    </xf>
    <xf numFmtId="0" fontId="5" fillId="0" borderId="0" xfId="0" applyFont="1"/>
    <xf numFmtId="0" fontId="54" fillId="0" borderId="2" xfId="0" applyFont="1" applyBorder="1" applyAlignment="1">
      <alignment vertical="center"/>
    </xf>
    <xf numFmtId="0" fontId="56" fillId="0" borderId="5" xfId="0" applyFont="1" applyBorder="1" applyAlignment="1">
      <alignment horizontal="center" vertic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wrapText="1"/>
    </xf>
    <xf numFmtId="0" fontId="54" fillId="0" borderId="2" xfId="0" applyFont="1" applyBorder="1" applyAlignment="1">
      <alignment horizontal="center"/>
    </xf>
    <xf numFmtId="2" fontId="54" fillId="0" borderId="0" xfId="0" applyNumberFormat="1" applyFont="1" applyAlignment="1">
      <alignment horizontal="center"/>
    </xf>
    <xf numFmtId="2" fontId="54" fillId="0" borderId="7" xfId="0" applyNumberFormat="1" applyFont="1" applyBorder="1" applyAlignment="1">
      <alignment horizontal="center"/>
    </xf>
    <xf numFmtId="4" fontId="54" fillId="0" borderId="41" xfId="0" applyNumberFormat="1" applyFont="1" applyBorder="1" applyAlignment="1">
      <alignment horizontal="center"/>
    </xf>
    <xf numFmtId="1" fontId="3" fillId="0" borderId="0" xfId="0" applyNumberFormat="1" applyFont="1"/>
    <xf numFmtId="0" fontId="54" fillId="0" borderId="8" xfId="0" applyFont="1" applyBorder="1" applyAlignment="1">
      <alignment horizontal="center"/>
    </xf>
    <xf numFmtId="4" fontId="54" fillId="3" borderId="41" xfId="0" applyNumberFormat="1" applyFont="1" applyFill="1" applyBorder="1" applyAlignment="1">
      <alignment horizontal="center"/>
    </xf>
    <xf numFmtId="2" fontId="54" fillId="3" borderId="0" xfId="0" applyNumberFormat="1" applyFont="1" applyFill="1" applyAlignment="1">
      <alignment horizontal="center"/>
    </xf>
    <xf numFmtId="2" fontId="54" fillId="3" borderId="7" xfId="0" applyNumberFormat="1" applyFont="1" applyFill="1" applyBorder="1" applyAlignment="1">
      <alignment horizontal="center"/>
    </xf>
    <xf numFmtId="2" fontId="3" fillId="0" borderId="0" xfId="0" applyNumberFormat="1" applyFont="1"/>
    <xf numFmtId="0" fontId="54" fillId="0" borderId="0" xfId="0" applyFont="1" applyAlignment="1">
      <alignment horizontal="center"/>
    </xf>
    <xf numFmtId="0" fontId="55" fillId="0" borderId="0" xfId="0" applyFont="1" applyAlignment="1">
      <alignment horizontal="centerContinuous" vertical="center"/>
    </xf>
    <xf numFmtId="0" fontId="54" fillId="0" borderId="0" xfId="0" applyFont="1" applyAlignment="1">
      <alignment horizontal="centerContinuous"/>
    </xf>
    <xf numFmtId="0" fontId="54" fillId="0" borderId="7" xfId="0" applyFont="1" applyBorder="1" applyAlignment="1">
      <alignment horizontal="center"/>
    </xf>
    <xf numFmtId="17" fontId="54" fillId="0" borderId="8" xfId="0" applyNumberFormat="1" applyFont="1" applyBorder="1" applyAlignment="1">
      <alignment horizontal="center"/>
    </xf>
    <xf numFmtId="2" fontId="57" fillId="0" borderId="0" xfId="0" applyNumberFormat="1" applyFont="1" applyAlignment="1">
      <alignment horizontal="center"/>
    </xf>
    <xf numFmtId="2" fontId="54" fillId="0" borderId="0" xfId="0" applyNumberFormat="1" applyFont="1" applyAlignment="1">
      <alignment horizontal="centerContinuous" vertical="top"/>
    </xf>
    <xf numFmtId="0" fontId="55" fillId="0" borderId="0" xfId="0" applyFont="1" applyAlignment="1">
      <alignment horizontal="centerContinuous" vertical="top"/>
    </xf>
    <xf numFmtId="169" fontId="54" fillId="0" borderId="8" xfId="0" applyNumberFormat="1" applyFont="1" applyBorder="1" applyAlignment="1">
      <alignment horizontal="center"/>
    </xf>
    <xf numFmtId="4" fontId="54" fillId="0" borderId="0" xfId="0" applyNumberFormat="1" applyFont="1" applyAlignment="1">
      <alignment horizontal="center"/>
    </xf>
    <xf numFmtId="169" fontId="58" fillId="0" borderId="8" xfId="0" applyNumberFormat="1" applyFont="1" applyBorder="1" applyAlignment="1">
      <alignment horizontal="center"/>
    </xf>
    <xf numFmtId="169" fontId="54" fillId="3" borderId="8" xfId="0" applyNumberFormat="1" applyFont="1" applyFill="1" applyBorder="1" applyAlignment="1">
      <alignment horizontal="center"/>
    </xf>
    <xf numFmtId="4" fontId="54" fillId="3" borderId="0" xfId="0" applyNumberFormat="1" applyFont="1" applyFill="1" applyAlignment="1">
      <alignment horizontal="center"/>
    </xf>
    <xf numFmtId="17" fontId="54" fillId="0" borderId="5" xfId="0" applyNumberFormat="1" applyFont="1" applyBorder="1" applyAlignment="1">
      <alignment horizontal="center"/>
    </xf>
    <xf numFmtId="2" fontId="54" fillId="0" borderId="12" xfId="0" applyNumberFormat="1" applyFont="1" applyBorder="1" applyAlignment="1">
      <alignment horizontal="center"/>
    </xf>
    <xf numFmtId="2" fontId="54" fillId="0" borderId="9" xfId="0" applyNumberFormat="1" applyFont="1" applyBorder="1" applyAlignment="1">
      <alignment horizontal="center"/>
    </xf>
    <xf numFmtId="2" fontId="54" fillId="0" borderId="15" xfId="0" applyNumberFormat="1" applyFont="1" applyBorder="1" applyAlignment="1">
      <alignment horizontal="center"/>
    </xf>
    <xf numFmtId="0" fontId="59" fillId="0" borderId="0" xfId="0" applyFont="1"/>
    <xf numFmtId="0" fontId="61" fillId="0" borderId="0" xfId="13" applyAlignment="1" applyProtection="1"/>
    <xf numFmtId="0" fontId="62" fillId="0" borderId="0" xfId="13" applyFont="1" applyAlignment="1" applyProtection="1"/>
    <xf numFmtId="0" fontId="63" fillId="0" borderId="0" xfId="13" applyFont="1" applyAlignment="1" applyProtection="1"/>
    <xf numFmtId="0" fontId="62" fillId="0" borderId="0" xfId="13" applyFont="1" applyAlignment="1" applyProtection="1">
      <alignment horizontal="left"/>
    </xf>
    <xf numFmtId="0" fontId="4" fillId="9" borderId="0" xfId="0" applyFont="1" applyFill="1" applyAlignment="1">
      <alignment horizontal="center"/>
    </xf>
    <xf numFmtId="0" fontId="4" fillId="3" borderId="17" xfId="0" applyFont="1" applyFill="1" applyBorder="1" applyAlignment="1">
      <alignment horizontal="center"/>
    </xf>
    <xf numFmtId="0" fontId="4" fillId="3" borderId="18" xfId="0" applyFont="1" applyFill="1" applyBorder="1" applyAlignment="1">
      <alignment horizontal="center"/>
    </xf>
    <xf numFmtId="0" fontId="4" fillId="3" borderId="19" xfId="0" applyFont="1" applyFill="1" applyBorder="1" applyAlignment="1">
      <alignment horizontal="center"/>
    </xf>
    <xf numFmtId="43" fontId="0" fillId="3" borderId="0" xfId="5" applyFont="1" applyFill="1" applyBorder="1"/>
    <xf numFmtId="0" fontId="0" fillId="3" borderId="21" xfId="0" applyFill="1" applyBorder="1"/>
    <xf numFmtId="9" fontId="0" fillId="3" borderId="0" xfId="0" applyNumberFormat="1" applyFill="1"/>
    <xf numFmtId="43" fontId="0" fillId="3" borderId="0" xfId="5" applyFont="1" applyFill="1" applyBorder="1" applyAlignment="1">
      <alignment horizontal="right"/>
    </xf>
    <xf numFmtId="10" fontId="0" fillId="3" borderId="0" xfId="7" applyNumberFormat="1" applyFont="1" applyFill="1" applyBorder="1"/>
    <xf numFmtId="10" fontId="0" fillId="3" borderId="0" xfId="0" applyNumberFormat="1" applyFill="1"/>
    <xf numFmtId="10" fontId="0" fillId="3" borderId="0" xfId="0" applyNumberFormat="1" applyFill="1" applyAlignment="1">
      <alignment horizontal="right"/>
    </xf>
    <xf numFmtId="10" fontId="4" fillId="3" borderId="0" xfId="0" applyNumberFormat="1" applyFont="1" applyFill="1" applyAlignment="1">
      <alignment horizontal="right"/>
    </xf>
    <xf numFmtId="10" fontId="4" fillId="3" borderId="23" xfId="0" applyNumberFormat="1" applyFont="1" applyFill="1" applyBorder="1" applyAlignment="1">
      <alignment horizontal="right"/>
    </xf>
    <xf numFmtId="164" fontId="0" fillId="9" borderId="0" xfId="1" applyNumberFormat="1" applyFont="1" applyFill="1"/>
    <xf numFmtId="164" fontId="0" fillId="3" borderId="24" xfId="1" applyNumberFormat="1" applyFont="1" applyFill="1" applyBorder="1"/>
    <xf numFmtId="164" fontId="0" fillId="3" borderId="0" xfId="0" applyNumberFormat="1" applyFill="1"/>
    <xf numFmtId="164" fontId="0" fillId="3" borderId="23" xfId="0" applyNumberFormat="1" applyFill="1" applyBorder="1"/>
    <xf numFmtId="164" fontId="0" fillId="3" borderId="24" xfId="0" applyNumberFormat="1" applyFill="1" applyBorder="1"/>
    <xf numFmtId="0" fontId="4" fillId="3" borderId="17" xfId="0" applyFont="1" applyFill="1" applyBorder="1"/>
    <xf numFmtId="164" fontId="0" fillId="3" borderId="0" xfId="1" applyNumberFormat="1" applyFont="1" applyFill="1" applyBorder="1"/>
    <xf numFmtId="10" fontId="0" fillId="3" borderId="0" xfId="2" applyNumberFormat="1" applyFont="1" applyFill="1" applyBorder="1"/>
    <xf numFmtId="10" fontId="0" fillId="3" borderId="21" xfId="2" applyNumberFormat="1" applyFont="1" applyFill="1" applyBorder="1"/>
    <xf numFmtId="164" fontId="4" fillId="3" borderId="23" xfId="1" applyNumberFormat="1" applyFont="1" applyFill="1" applyBorder="1"/>
    <xf numFmtId="10" fontId="4" fillId="3" borderId="23" xfId="2" applyNumberFormat="1" applyFont="1" applyFill="1" applyBorder="1"/>
    <xf numFmtId="0" fontId="4" fillId="3" borderId="23" xfId="0" applyFont="1" applyFill="1" applyBorder="1"/>
    <xf numFmtId="10" fontId="4" fillId="3" borderId="24" xfId="2" applyNumberFormat="1" applyFont="1" applyFill="1" applyBorder="1"/>
    <xf numFmtId="164" fontId="0" fillId="3" borderId="23" xfId="1" applyNumberFormat="1" applyFont="1" applyFill="1" applyBorder="1"/>
    <xf numFmtId="164" fontId="4" fillId="3" borderId="17" xfId="1" applyNumberFormat="1" applyFont="1" applyFill="1" applyBorder="1" applyAlignment="1">
      <alignment horizontal="center"/>
    </xf>
    <xf numFmtId="164" fontId="4" fillId="3" borderId="18" xfId="1" applyNumberFormat="1" applyFont="1" applyFill="1" applyBorder="1" applyAlignment="1">
      <alignment horizontal="center"/>
    </xf>
    <xf numFmtId="164" fontId="4" fillId="3" borderId="19" xfId="1" applyNumberFormat="1" applyFont="1" applyFill="1" applyBorder="1" applyAlignment="1">
      <alignment horizontal="center"/>
    </xf>
    <xf numFmtId="164" fontId="0" fillId="3" borderId="20" xfId="1" applyNumberFormat="1" applyFont="1" applyFill="1" applyBorder="1"/>
    <xf numFmtId="164" fontId="0" fillId="3" borderId="22" xfId="1" applyNumberFormat="1" applyFont="1" applyFill="1" applyBorder="1"/>
    <xf numFmtId="0" fontId="0" fillId="3" borderId="21" xfId="0" applyFill="1" applyBorder="1" applyAlignment="1">
      <alignment horizontal="right"/>
    </xf>
    <xf numFmtId="10" fontId="0" fillId="3" borderId="21" xfId="0" applyNumberFormat="1" applyFill="1" applyBorder="1"/>
    <xf numFmtId="0" fontId="0" fillId="3" borderId="24" xfId="0" applyFill="1" applyBorder="1" applyAlignment="1">
      <alignment horizontal="right"/>
    </xf>
    <xf numFmtId="0" fontId="4" fillId="3" borderId="25" xfId="0" applyFont="1" applyFill="1" applyBorder="1"/>
    <xf numFmtId="164" fontId="4" fillId="3" borderId="26" xfId="0" applyNumberFormat="1" applyFont="1" applyFill="1" applyBorder="1"/>
    <xf numFmtId="164" fontId="4" fillId="3" borderId="27" xfId="0" applyNumberFormat="1" applyFont="1" applyFill="1" applyBorder="1"/>
    <xf numFmtId="0" fontId="0" fillId="3" borderId="23" xfId="0" applyFill="1" applyBorder="1"/>
    <xf numFmtId="0" fontId="8" fillId="9" borderId="0" xfId="0" applyFont="1" applyFill="1" applyAlignment="1">
      <alignment horizontal="center"/>
    </xf>
    <xf numFmtId="0" fontId="24" fillId="0" borderId="0" xfId="0" applyFont="1"/>
    <xf numFmtId="0" fontId="65" fillId="0" borderId="0" xfId="0" applyFont="1"/>
    <xf numFmtId="0" fontId="65" fillId="0" borderId="16" xfId="0" applyFont="1" applyBorder="1"/>
    <xf numFmtId="0" fontId="24" fillId="0" borderId="16" xfId="0" applyFont="1" applyBorder="1" applyAlignment="1">
      <alignment horizontal="center"/>
    </xf>
    <xf numFmtId="164" fontId="24" fillId="0" borderId="16" xfId="1" applyNumberFormat="1" applyFont="1" applyBorder="1" applyAlignment="1">
      <alignment horizontal="center"/>
    </xf>
    <xf numFmtId="0" fontId="24" fillId="9" borderId="16" xfId="0" applyFont="1" applyFill="1" applyBorder="1"/>
    <xf numFmtId="0" fontId="24" fillId="0" borderId="28" xfId="0" applyFont="1" applyBorder="1"/>
    <xf numFmtId="0" fontId="24" fillId="9" borderId="0" xfId="0" applyFont="1" applyFill="1"/>
    <xf numFmtId="0" fontId="24" fillId="0" borderId="16" xfId="0" applyFont="1" applyBorder="1" applyAlignment="1">
      <alignment wrapText="1"/>
    </xf>
    <xf numFmtId="164" fontId="24" fillId="0" borderId="16" xfId="1" applyNumberFormat="1" applyFont="1" applyBorder="1" applyAlignment="1">
      <alignment horizontal="center" vertical="center"/>
    </xf>
    <xf numFmtId="0" fontId="24" fillId="0" borderId="16" xfId="0" applyFont="1" applyBorder="1" applyAlignment="1">
      <alignment horizontal="center" vertical="center"/>
    </xf>
    <xf numFmtId="43" fontId="24" fillId="0" borderId="16" xfId="1" applyFont="1" applyBorder="1" applyAlignment="1">
      <alignment horizontal="center"/>
    </xf>
    <xf numFmtId="164" fontId="24" fillId="0" borderId="0" xfId="0" applyNumberFormat="1" applyFont="1"/>
    <xf numFmtId="0" fontId="65" fillId="0" borderId="0" xfId="0" applyFont="1" applyAlignment="1">
      <alignment horizontal="center"/>
    </xf>
    <xf numFmtId="0" fontId="65" fillId="0" borderId="16" xfId="0" applyFont="1" applyBorder="1" applyAlignment="1">
      <alignment horizontal="center"/>
    </xf>
    <xf numFmtId="164" fontId="24" fillId="0" borderId="16" xfId="0" applyNumberFormat="1" applyFont="1" applyBorder="1"/>
    <xf numFmtId="0" fontId="24" fillId="0" borderId="16" xfId="0" applyFont="1" applyBorder="1" applyAlignment="1">
      <alignment horizontal="left"/>
    </xf>
    <xf numFmtId="9" fontId="24" fillId="0" borderId="16" xfId="0" applyNumberFormat="1" applyFont="1" applyBorder="1"/>
    <xf numFmtId="43" fontId="24" fillId="0" borderId="16" xfId="1" applyFont="1" applyBorder="1"/>
    <xf numFmtId="164" fontId="24" fillId="0" borderId="16" xfId="5" applyNumberFormat="1" applyFont="1" applyBorder="1"/>
    <xf numFmtId="164" fontId="24" fillId="9" borderId="0" xfId="5" applyNumberFormat="1" applyFont="1" applyFill="1"/>
    <xf numFmtId="164" fontId="65" fillId="0" borderId="16" xfId="5" applyNumberFormat="1" applyFont="1" applyBorder="1" applyAlignment="1">
      <alignment horizontal="center"/>
    </xf>
    <xf numFmtId="164" fontId="65" fillId="0" borderId="0" xfId="0" applyNumberFormat="1" applyFont="1"/>
    <xf numFmtId="164" fontId="65" fillId="0" borderId="16" xfId="0" applyNumberFormat="1" applyFont="1" applyBorder="1"/>
    <xf numFmtId="164" fontId="65" fillId="0" borderId="16" xfId="1" applyNumberFormat="1" applyFont="1" applyBorder="1"/>
    <xf numFmtId="164" fontId="65" fillId="0" borderId="16" xfId="5" applyNumberFormat="1" applyFont="1" applyBorder="1"/>
    <xf numFmtId="0" fontId="24" fillId="0" borderId="16" xfId="0" applyFont="1" applyBorder="1" applyAlignment="1">
      <alignment horizontal="left" vertical="center"/>
    </xf>
    <xf numFmtId="10" fontId="24" fillId="0" borderId="16" xfId="2" applyNumberFormat="1" applyFont="1" applyBorder="1"/>
    <xf numFmtId="0" fontId="0" fillId="45" borderId="26" xfId="0" applyFill="1" applyBorder="1"/>
    <xf numFmtId="0" fontId="24" fillId="4" borderId="16" xfId="0" applyFont="1" applyFill="1" applyBorder="1"/>
    <xf numFmtId="0" fontId="24" fillId="4" borderId="16" xfId="0" applyFont="1" applyFill="1" applyBorder="1" applyAlignment="1">
      <alignment horizontal="center"/>
    </xf>
    <xf numFmtId="0" fontId="24" fillId="2" borderId="16" xfId="0" applyFont="1" applyFill="1" applyBorder="1"/>
    <xf numFmtId="164" fontId="24" fillId="2" borderId="16" xfId="5" applyNumberFormat="1" applyFont="1" applyFill="1" applyBorder="1"/>
    <xf numFmtId="10" fontId="24" fillId="2" borderId="16" xfId="7" applyNumberFormat="1" applyFont="1" applyFill="1" applyBorder="1"/>
    <xf numFmtId="164" fontId="24" fillId="2" borderId="16" xfId="5" applyNumberFormat="1" applyFont="1" applyFill="1" applyBorder="1" applyAlignment="1">
      <alignment horizontal="center"/>
    </xf>
    <xf numFmtId="0" fontId="24" fillId="2" borderId="16" xfId="0" applyFont="1" applyFill="1" applyBorder="1" applyAlignment="1">
      <alignment horizontal="center"/>
    </xf>
    <xf numFmtId="0" fontId="70" fillId="2" borderId="0" xfId="0" applyFont="1" applyFill="1"/>
    <xf numFmtId="164" fontId="24" fillId="2" borderId="0" xfId="0" applyNumberFormat="1" applyFont="1" applyFill="1"/>
    <xf numFmtId="43" fontId="24" fillId="2" borderId="0" xfId="5" applyFont="1" applyFill="1" applyAlignment="1">
      <alignment horizontal="left"/>
    </xf>
    <xf numFmtId="9" fontId="24" fillId="2" borderId="16" xfId="0" applyNumberFormat="1" applyFont="1" applyFill="1" applyBorder="1"/>
    <xf numFmtId="43" fontId="24" fillId="2" borderId="16" xfId="5" applyFont="1" applyFill="1" applyBorder="1" applyAlignment="1">
      <alignment horizontal="left"/>
    </xf>
    <xf numFmtId="0" fontId="67" fillId="2" borderId="16" xfId="0" applyFont="1" applyFill="1" applyBorder="1"/>
    <xf numFmtId="0" fontId="24" fillId="2" borderId="0" xfId="0" applyFont="1" applyFill="1"/>
    <xf numFmtId="164" fontId="24" fillId="9" borderId="0" xfId="5" applyNumberFormat="1" applyFont="1" applyFill="1" applyBorder="1"/>
    <xf numFmtId="164" fontId="4" fillId="3" borderId="23" xfId="0" applyNumberFormat="1" applyFont="1" applyFill="1" applyBorder="1"/>
    <xf numFmtId="164" fontId="4" fillId="3" borderId="24" xfId="0" applyNumberFormat="1" applyFont="1" applyFill="1" applyBorder="1"/>
    <xf numFmtId="0" fontId="71" fillId="9" borderId="0" xfId="0" applyFont="1" applyFill="1"/>
    <xf numFmtId="164" fontId="71" fillId="9" borderId="0" xfId="1" applyNumberFormat="1" applyFont="1" applyFill="1" applyBorder="1"/>
    <xf numFmtId="164" fontId="30" fillId="9" borderId="0" xfId="1" applyNumberFormat="1" applyFont="1" applyFill="1"/>
    <xf numFmtId="0" fontId="24" fillId="6" borderId="16" xfId="0" applyFont="1" applyFill="1" applyBorder="1"/>
    <xf numFmtId="0" fontId="24" fillId="6" borderId="16" xfId="0" applyFont="1" applyFill="1" applyBorder="1" applyAlignment="1">
      <alignment horizontal="left"/>
    </xf>
    <xf numFmtId="0" fontId="67" fillId="6" borderId="16" xfId="0" applyFont="1" applyFill="1" applyBorder="1"/>
    <xf numFmtId="0" fontId="65" fillId="6" borderId="16" xfId="0" applyFont="1" applyFill="1" applyBorder="1" applyAlignment="1">
      <alignment horizontal="center"/>
    </xf>
    <xf numFmtId="6" fontId="0" fillId="3" borderId="24" xfId="0" applyNumberFormat="1" applyFill="1" applyBorder="1"/>
    <xf numFmtId="0" fontId="73" fillId="0" borderId="1" xfId="0" applyFont="1" applyBorder="1" applyAlignment="1">
      <alignment horizontal="center" vertical="center"/>
    </xf>
    <xf numFmtId="0" fontId="73" fillId="0" borderId="4" xfId="0" applyFont="1" applyBorder="1" applyAlignment="1">
      <alignment horizontal="center" vertical="center"/>
    </xf>
    <xf numFmtId="0" fontId="74" fillId="46" borderId="6" xfId="0" applyFont="1" applyFill="1" applyBorder="1" applyAlignment="1">
      <alignment horizontal="left" vertical="center"/>
    </xf>
    <xf numFmtId="0" fontId="74" fillId="0" borderId="7" xfId="0" applyFont="1" applyBorder="1" applyAlignment="1">
      <alignment horizontal="left" vertical="center"/>
    </xf>
    <xf numFmtId="0" fontId="74" fillId="46" borderId="7" xfId="0" applyFont="1" applyFill="1" applyBorder="1" applyAlignment="1">
      <alignment horizontal="left" vertical="center"/>
    </xf>
    <xf numFmtId="0" fontId="74" fillId="46" borderId="9" xfId="0" applyFont="1" applyFill="1" applyBorder="1" applyAlignment="1">
      <alignment horizontal="left" vertical="center"/>
    </xf>
    <xf numFmtId="0" fontId="74" fillId="46" borderId="2" xfId="0" applyFont="1" applyFill="1" applyBorder="1" applyAlignment="1">
      <alignment horizontal="center" vertical="center"/>
    </xf>
    <xf numFmtId="0" fontId="74" fillId="0" borderId="8" xfId="0" applyFont="1" applyBorder="1" applyAlignment="1">
      <alignment horizontal="center" vertical="center"/>
    </xf>
    <xf numFmtId="0" fontId="74" fillId="46" borderId="8" xfId="0" applyFont="1" applyFill="1" applyBorder="1" applyAlignment="1">
      <alignment horizontal="center" vertical="center"/>
    </xf>
    <xf numFmtId="0" fontId="74" fillId="46" borderId="5" xfId="0" applyFont="1" applyFill="1" applyBorder="1" applyAlignment="1">
      <alignment horizontal="center" vertical="center"/>
    </xf>
    <xf numFmtId="0" fontId="73" fillId="0" borderId="7" xfId="0" applyFont="1" applyBorder="1" applyAlignment="1">
      <alignment horizontal="center" vertical="center"/>
    </xf>
    <xf numFmtId="0" fontId="24" fillId="0" borderId="0" xfId="0" applyFont="1" applyAlignment="1">
      <alignment horizontal="center" vertical="center"/>
    </xf>
    <xf numFmtId="43" fontId="0" fillId="0" borderId="0" xfId="1" applyFont="1"/>
    <xf numFmtId="2" fontId="4" fillId="3" borderId="16" xfId="0" applyNumberFormat="1" applyFont="1" applyFill="1" applyBorder="1" applyAlignment="1">
      <alignment horizontal="center"/>
    </xf>
    <xf numFmtId="43" fontId="9" fillId="0" borderId="0" xfId="0" applyNumberFormat="1" applyFont="1"/>
    <xf numFmtId="0" fontId="32" fillId="48" borderId="1" xfId="0" applyFont="1" applyFill="1" applyBorder="1" applyAlignment="1">
      <alignment wrapText="1"/>
    </xf>
    <xf numFmtId="0" fontId="32" fillId="48" borderId="1" xfId="0" applyFont="1" applyFill="1" applyBorder="1" applyAlignment="1">
      <alignment horizontal="center" wrapText="1"/>
    </xf>
    <xf numFmtId="0" fontId="33" fillId="18" borderId="1" xfId="0" applyFont="1" applyFill="1" applyBorder="1"/>
    <xf numFmtId="0" fontId="33" fillId="18" borderId="45" xfId="0" applyFont="1" applyFill="1" applyBorder="1" applyAlignment="1">
      <alignment horizontal="center"/>
    </xf>
    <xf numFmtId="0" fontId="33" fillId="18" borderId="46" xfId="0" applyFont="1" applyFill="1" applyBorder="1" applyAlignment="1">
      <alignment horizontal="center"/>
    </xf>
    <xf numFmtId="0" fontId="33" fillId="48" borderId="1" xfId="0" applyFont="1" applyFill="1" applyBorder="1"/>
    <xf numFmtId="0" fontId="33" fillId="48" borderId="1" xfId="0" applyFont="1" applyFill="1" applyBorder="1" applyAlignment="1">
      <alignment horizontal="center"/>
    </xf>
    <xf numFmtId="0" fontId="33" fillId="48" borderId="45" xfId="0" applyFont="1" applyFill="1" applyBorder="1" applyAlignment="1">
      <alignment horizontal="center"/>
    </xf>
    <xf numFmtId="0" fontId="33" fillId="48" borderId="46" xfId="0" applyFont="1" applyFill="1" applyBorder="1" applyAlignment="1">
      <alignment horizontal="center"/>
    </xf>
    <xf numFmtId="0" fontId="36" fillId="18" borderId="1" xfId="0" applyFont="1" applyFill="1" applyBorder="1" applyAlignment="1">
      <alignment horizontal="center"/>
    </xf>
    <xf numFmtId="0" fontId="36" fillId="48" borderId="1" xfId="0" applyFont="1" applyFill="1" applyBorder="1" applyAlignment="1">
      <alignment horizontal="center"/>
    </xf>
    <xf numFmtId="0" fontId="33" fillId="48" borderId="47" xfId="0" applyFont="1" applyFill="1" applyBorder="1" applyAlignment="1">
      <alignment horizontal="center"/>
    </xf>
    <xf numFmtId="0" fontId="33" fillId="48" borderId="48" xfId="0" applyFont="1" applyFill="1" applyBorder="1" applyAlignment="1">
      <alignment horizontal="center"/>
    </xf>
    <xf numFmtId="0" fontId="38" fillId="0" borderId="49" xfId="8" applyFont="1" applyBorder="1"/>
    <xf numFmtId="168" fontId="76" fillId="7" borderId="1" xfId="10" applyFont="1" applyFill="1" applyBorder="1" applyAlignment="1">
      <alignment horizontal="center"/>
    </xf>
    <xf numFmtId="10" fontId="77" fillId="7" borderId="1" xfId="8" applyNumberFormat="1" applyFont="1" applyFill="1" applyBorder="1" applyAlignment="1">
      <alignment horizontal="center"/>
    </xf>
    <xf numFmtId="0" fontId="45" fillId="0" borderId="15" xfId="8" applyFont="1" applyBorder="1" applyAlignment="1">
      <alignment horizontal="center" wrapText="1"/>
    </xf>
    <xf numFmtId="0" fontId="79" fillId="7" borderId="56" xfId="8" applyFont="1" applyFill="1" applyBorder="1" applyAlignment="1">
      <alignment horizontal="center" wrapText="1"/>
    </xf>
    <xf numFmtId="0" fontId="79" fillId="7" borderId="50" xfId="8" applyFont="1" applyFill="1" applyBorder="1" applyAlignment="1">
      <alignment horizontal="center" wrapText="1"/>
    </xf>
    <xf numFmtId="0" fontId="79" fillId="7" borderId="57" xfId="8" applyFont="1" applyFill="1" applyBorder="1" applyAlignment="1">
      <alignment horizontal="center" wrapText="1"/>
    </xf>
    <xf numFmtId="0" fontId="79" fillId="7" borderId="9" xfId="8" applyFont="1" applyFill="1" applyBorder="1" applyAlignment="1">
      <alignment horizontal="center" wrapText="1"/>
    </xf>
    <xf numFmtId="10" fontId="80" fillId="7" borderId="58" xfId="8" applyNumberFormat="1" applyFont="1" applyFill="1" applyBorder="1" applyAlignment="1">
      <alignment horizontal="center"/>
    </xf>
    <xf numFmtId="168" fontId="46" fillId="0" borderId="4" xfId="10" applyFont="1" applyBorder="1" applyAlignment="1">
      <alignment horizontal="center"/>
    </xf>
    <xf numFmtId="10" fontId="80" fillId="7" borderId="50" xfId="8" applyNumberFormat="1" applyFont="1" applyFill="1" applyBorder="1" applyAlignment="1">
      <alignment horizontal="center"/>
    </xf>
    <xf numFmtId="168" fontId="46" fillId="0" borderId="6" xfId="10" applyFont="1" applyBorder="1" applyAlignment="1">
      <alignment horizontal="center"/>
    </xf>
    <xf numFmtId="168" fontId="46" fillId="0" borderId="59" xfId="10" applyFont="1" applyBorder="1" applyAlignment="1">
      <alignment horizontal="center"/>
    </xf>
    <xf numFmtId="0" fontId="46" fillId="0" borderId="14" xfId="8" applyFont="1" applyBorder="1" applyAlignment="1">
      <alignment horizontal="center"/>
    </xf>
    <xf numFmtId="10" fontId="80" fillId="7" borderId="60" xfId="8" applyNumberFormat="1" applyFont="1" applyFill="1" applyBorder="1" applyAlignment="1">
      <alignment horizontal="center"/>
    </xf>
    <xf numFmtId="164" fontId="0" fillId="3" borderId="0" xfId="1" applyNumberFormat="1" applyFont="1" applyFill="1"/>
    <xf numFmtId="43" fontId="0" fillId="3" borderId="0" xfId="1" applyFont="1" applyFill="1"/>
    <xf numFmtId="10" fontId="0" fillId="16" borderId="0" xfId="2" applyNumberFormat="1" applyFont="1" applyFill="1"/>
    <xf numFmtId="10" fontId="0" fillId="0" borderId="0" xfId="2" applyNumberFormat="1" applyFont="1" applyFill="1"/>
    <xf numFmtId="10" fontId="0" fillId="3" borderId="0" xfId="2" applyNumberFormat="1" applyFont="1" applyFill="1"/>
    <xf numFmtId="10" fontId="0" fillId="9" borderId="0" xfId="0" applyNumberFormat="1" applyFill="1"/>
    <xf numFmtId="10" fontId="0" fillId="0" borderId="0" xfId="14" applyNumberFormat="1" applyFont="1"/>
    <xf numFmtId="10" fontId="3" fillId="0" borderId="0" xfId="0" applyNumberFormat="1" applyFont="1"/>
    <xf numFmtId="10" fontId="82" fillId="9" borderId="0" xfId="2" applyNumberFormat="1" applyFont="1" applyFill="1"/>
    <xf numFmtId="10" fontId="82" fillId="9" borderId="0" xfId="0" applyNumberFormat="1" applyFont="1" applyFill="1"/>
    <xf numFmtId="0" fontId="24" fillId="9" borderId="0" xfId="0" applyFont="1" applyFill="1" applyAlignment="1">
      <alignment horizontal="center" vertical="center"/>
    </xf>
    <xf numFmtId="10" fontId="0" fillId="3" borderId="19" xfId="2" applyNumberFormat="1" applyFont="1" applyFill="1" applyBorder="1" applyAlignment="1">
      <alignment horizontal="center"/>
    </xf>
    <xf numFmtId="9" fontId="24" fillId="9" borderId="0" xfId="0" applyNumberFormat="1" applyFont="1" applyFill="1"/>
    <xf numFmtId="0" fontId="24" fillId="3" borderId="16" xfId="0" applyFont="1" applyFill="1" applyBorder="1" applyAlignment="1">
      <alignment horizontal="center"/>
    </xf>
    <xf numFmtId="0" fontId="0" fillId="49" borderId="0" xfId="0" applyFill="1"/>
    <xf numFmtId="0" fontId="85" fillId="0" borderId="0" xfId="0" applyFont="1"/>
    <xf numFmtId="10" fontId="5" fillId="0" borderId="0" xfId="2" applyNumberFormat="1" applyFont="1"/>
    <xf numFmtId="10" fontId="5" fillId="0" borderId="0" xfId="0" applyNumberFormat="1" applyFont="1"/>
    <xf numFmtId="0" fontId="28" fillId="41" borderId="25" xfId="0" applyFont="1" applyFill="1" applyBorder="1" applyAlignment="1">
      <alignment horizontal="center"/>
    </xf>
    <xf numFmtId="0" fontId="28" fillId="41" borderId="27" xfId="0" applyFont="1" applyFill="1" applyBorder="1" applyAlignment="1">
      <alignment horizontal="center"/>
    </xf>
    <xf numFmtId="0" fontId="31" fillId="0" borderId="17" xfId="0" applyFont="1" applyBorder="1" applyAlignment="1">
      <alignment horizontal="center" vertical="center"/>
    </xf>
    <xf numFmtId="0" fontId="31" fillId="0" borderId="18" xfId="0" applyFont="1" applyBorder="1" applyAlignment="1">
      <alignment horizontal="center" vertical="center"/>
    </xf>
    <xf numFmtId="0" fontId="31" fillId="0" borderId="19"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65" fillId="24" borderId="25" xfId="0" applyFont="1" applyFill="1" applyBorder="1" applyAlignment="1">
      <alignment horizontal="center"/>
    </xf>
    <xf numFmtId="0" fontId="65" fillId="24" borderId="27" xfId="0" applyFont="1" applyFill="1" applyBorder="1" applyAlignment="1">
      <alignment horizontal="center"/>
    </xf>
    <xf numFmtId="0" fontId="65" fillId="0" borderId="25" xfId="0" applyFont="1" applyBorder="1" applyAlignment="1">
      <alignment horizontal="center"/>
    </xf>
    <xf numFmtId="0" fontId="65" fillId="0" borderId="27" xfId="0" applyFont="1" applyBorder="1" applyAlignment="1">
      <alignment horizontal="center"/>
    </xf>
    <xf numFmtId="0" fontId="65" fillId="26" borderId="25" xfId="0" applyFont="1" applyFill="1" applyBorder="1" applyAlignment="1">
      <alignment horizontal="center"/>
    </xf>
    <xf numFmtId="0" fontId="65" fillId="26" borderId="27" xfId="0" applyFont="1" applyFill="1" applyBorder="1" applyAlignment="1">
      <alignment horizontal="center"/>
    </xf>
    <xf numFmtId="0" fontId="28" fillId="40" borderId="25" xfId="0" applyFont="1" applyFill="1" applyBorder="1" applyAlignment="1">
      <alignment horizontal="center"/>
    </xf>
    <xf numFmtId="0" fontId="28" fillId="40" borderId="27" xfId="0" applyFont="1" applyFill="1" applyBorder="1" applyAlignment="1">
      <alignment horizontal="center"/>
    </xf>
    <xf numFmtId="0" fontId="69" fillId="38" borderId="25" xfId="0" applyFont="1" applyFill="1" applyBorder="1" applyAlignment="1">
      <alignment horizontal="center"/>
    </xf>
    <xf numFmtId="0" fontId="69" fillId="38" borderId="27" xfId="0" applyFont="1" applyFill="1" applyBorder="1" applyAlignment="1">
      <alignment horizontal="center"/>
    </xf>
    <xf numFmtId="0" fontId="65" fillId="37" borderId="25" xfId="0" applyFont="1" applyFill="1" applyBorder="1" applyAlignment="1">
      <alignment horizontal="center"/>
    </xf>
    <xf numFmtId="0" fontId="65" fillId="37" borderId="27" xfId="0" applyFont="1" applyFill="1" applyBorder="1" applyAlignment="1">
      <alignment horizontal="center"/>
    </xf>
    <xf numFmtId="0" fontId="28" fillId="31" borderId="25" xfId="0" applyFont="1" applyFill="1" applyBorder="1" applyAlignment="1">
      <alignment horizontal="center"/>
    </xf>
    <xf numFmtId="0" fontId="28" fillId="31" borderId="27" xfId="0" applyFont="1" applyFill="1" applyBorder="1" applyAlignment="1">
      <alignment horizontal="center"/>
    </xf>
    <xf numFmtId="0" fontId="28" fillId="32" borderId="25" xfId="0" applyFont="1" applyFill="1" applyBorder="1" applyAlignment="1">
      <alignment horizontal="center"/>
    </xf>
    <xf numFmtId="0" fontId="28" fillId="32" borderId="27" xfId="0" applyFont="1" applyFill="1" applyBorder="1" applyAlignment="1">
      <alignment horizontal="center"/>
    </xf>
    <xf numFmtId="0" fontId="65" fillId="33" borderId="25" xfId="0" applyFont="1" applyFill="1" applyBorder="1" applyAlignment="1">
      <alignment horizontal="center"/>
    </xf>
    <xf numFmtId="0" fontId="65" fillId="33" borderId="27" xfId="0" applyFont="1" applyFill="1" applyBorder="1" applyAlignment="1">
      <alignment horizontal="center"/>
    </xf>
    <xf numFmtId="0" fontId="65" fillId="34" borderId="25" xfId="0" applyFont="1" applyFill="1" applyBorder="1" applyAlignment="1">
      <alignment horizontal="center"/>
    </xf>
    <xf numFmtId="0" fontId="65" fillId="34" borderId="27" xfId="0" applyFont="1" applyFill="1" applyBorder="1" applyAlignment="1">
      <alignment horizontal="center"/>
    </xf>
    <xf numFmtId="0" fontId="65" fillId="35" borderId="25" xfId="0" applyFont="1" applyFill="1" applyBorder="1" applyAlignment="1">
      <alignment horizontal="center"/>
    </xf>
    <xf numFmtId="0" fontId="65" fillId="35" borderId="27" xfId="0" applyFont="1" applyFill="1" applyBorder="1" applyAlignment="1">
      <alignment horizontal="center"/>
    </xf>
    <xf numFmtId="0" fontId="65" fillId="36" borderId="25" xfId="0" applyFont="1" applyFill="1" applyBorder="1" applyAlignment="1">
      <alignment horizontal="center"/>
    </xf>
    <xf numFmtId="0" fontId="65" fillId="36" borderId="27" xfId="0" applyFont="1" applyFill="1" applyBorder="1" applyAlignment="1">
      <alignment horizontal="center"/>
    </xf>
    <xf numFmtId="0" fontId="65" fillId="23" borderId="25" xfId="0" applyFont="1" applyFill="1" applyBorder="1" applyAlignment="1">
      <alignment horizontal="center"/>
    </xf>
    <xf numFmtId="0" fontId="65" fillId="23" borderId="27" xfId="0" applyFont="1" applyFill="1" applyBorder="1" applyAlignment="1">
      <alignment horizontal="center"/>
    </xf>
    <xf numFmtId="0" fontId="65" fillId="43" borderId="17" xfId="0" applyFont="1" applyFill="1" applyBorder="1" applyAlignment="1">
      <alignment horizontal="center"/>
    </xf>
    <xf numFmtId="0" fontId="65" fillId="43" borderId="19" xfId="0" applyFont="1" applyFill="1" applyBorder="1" applyAlignment="1">
      <alignment horizontal="center"/>
    </xf>
    <xf numFmtId="0" fontId="28" fillId="44" borderId="25" xfId="0" applyFont="1" applyFill="1" applyBorder="1" applyAlignment="1">
      <alignment horizontal="center"/>
    </xf>
    <xf numFmtId="0" fontId="28" fillId="44" borderId="26" xfId="0" applyFont="1" applyFill="1" applyBorder="1" applyAlignment="1">
      <alignment horizontal="center"/>
    </xf>
    <xf numFmtId="0" fontId="28" fillId="44" borderId="27" xfId="0" applyFont="1" applyFill="1" applyBorder="1" applyAlignment="1">
      <alignment horizontal="center"/>
    </xf>
    <xf numFmtId="0" fontId="65" fillId="45" borderId="25" xfId="0" applyFont="1" applyFill="1" applyBorder="1" applyAlignment="1">
      <alignment horizontal="center"/>
    </xf>
    <xf numFmtId="0" fontId="65" fillId="45" borderId="26" xfId="0" applyFont="1" applyFill="1" applyBorder="1" applyAlignment="1">
      <alignment horizontal="center"/>
    </xf>
    <xf numFmtId="0" fontId="65" fillId="6" borderId="25" xfId="0" applyFont="1" applyFill="1" applyBorder="1" applyAlignment="1">
      <alignment horizontal="center"/>
    </xf>
    <xf numFmtId="0" fontId="65" fillId="6" borderId="26" xfId="0" applyFont="1" applyFill="1" applyBorder="1" applyAlignment="1">
      <alignment horizontal="center"/>
    </xf>
    <xf numFmtId="0" fontId="65" fillId="6" borderId="27" xfId="0" applyFont="1" applyFill="1" applyBorder="1" applyAlignment="1">
      <alignment horizontal="center"/>
    </xf>
    <xf numFmtId="0" fontId="65" fillId="2" borderId="25" xfId="0" applyFont="1" applyFill="1" applyBorder="1" applyAlignment="1">
      <alignment horizontal="center"/>
    </xf>
    <xf numFmtId="0" fontId="65" fillId="2" borderId="27" xfId="0" applyFont="1" applyFill="1" applyBorder="1" applyAlignment="1">
      <alignment horizontal="center"/>
    </xf>
    <xf numFmtId="0" fontId="24" fillId="43" borderId="20" xfId="0" applyFont="1" applyFill="1" applyBorder="1" applyAlignment="1">
      <alignment horizontal="left"/>
    </xf>
    <xf numFmtId="0" fontId="24" fillId="43" borderId="21" xfId="0" applyFont="1" applyFill="1" applyBorder="1" applyAlignment="1">
      <alignment horizontal="left"/>
    </xf>
    <xf numFmtId="0" fontId="24" fillId="43" borderId="22" xfId="0" applyFont="1" applyFill="1" applyBorder="1" applyAlignment="1">
      <alignment horizontal="left"/>
    </xf>
    <xf numFmtId="0" fontId="24" fillId="43" borderId="24" xfId="0" applyFont="1" applyFill="1" applyBorder="1" applyAlignment="1">
      <alignment horizontal="left"/>
    </xf>
    <xf numFmtId="0" fontId="68" fillId="7" borderId="0" xfId="6" applyFont="1" applyFill="1" applyAlignment="1">
      <alignment horizontal="center" vertical="center" wrapText="1"/>
    </xf>
    <xf numFmtId="0" fontId="28" fillId="7" borderId="0" xfId="0" applyFont="1" applyFill="1" applyAlignment="1">
      <alignment horizontal="center" vertical="center" wrapText="1"/>
    </xf>
    <xf numFmtId="0" fontId="28" fillId="42" borderId="25" xfId="0" applyFont="1" applyFill="1" applyBorder="1" applyAlignment="1">
      <alignment horizontal="center"/>
    </xf>
    <xf numFmtId="0" fontId="28" fillId="42" borderId="27" xfId="0" applyFont="1" applyFill="1" applyBorder="1" applyAlignment="1">
      <alignment horizontal="center"/>
    </xf>
    <xf numFmtId="0" fontId="65" fillId="4" borderId="17" xfId="0" applyFont="1" applyFill="1" applyBorder="1" applyAlignment="1">
      <alignment horizontal="center" vertical="center" wrapText="1"/>
    </xf>
    <xf numFmtId="0" fontId="65" fillId="4" borderId="19" xfId="0" applyFont="1" applyFill="1" applyBorder="1" applyAlignment="1">
      <alignment horizontal="center" vertical="center" wrapText="1"/>
    </xf>
    <xf numFmtId="0" fontId="65" fillId="4" borderId="20" xfId="0" applyFont="1" applyFill="1" applyBorder="1" applyAlignment="1">
      <alignment horizontal="center" vertical="center" wrapText="1"/>
    </xf>
    <xf numFmtId="0" fontId="65" fillId="4" borderId="21" xfId="0" applyFont="1" applyFill="1" applyBorder="1" applyAlignment="1">
      <alignment horizontal="center" vertical="center" wrapText="1"/>
    </xf>
    <xf numFmtId="0" fontId="65" fillId="4" borderId="22"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28" fillId="39" borderId="25" xfId="0" applyFont="1" applyFill="1" applyBorder="1" applyAlignment="1">
      <alignment horizontal="center"/>
    </xf>
    <xf numFmtId="0" fontId="28" fillId="39" borderId="27" xfId="0" applyFont="1" applyFill="1" applyBorder="1" applyAlignment="1">
      <alignment horizontal="center"/>
    </xf>
    <xf numFmtId="0" fontId="65" fillId="25" borderId="25" xfId="0" applyFont="1" applyFill="1" applyBorder="1" applyAlignment="1">
      <alignment horizontal="center"/>
    </xf>
    <xf numFmtId="0" fontId="65" fillId="25" borderId="26" xfId="0" applyFont="1" applyFill="1" applyBorder="1" applyAlignment="1">
      <alignment horizontal="center"/>
    </xf>
    <xf numFmtId="0" fontId="65" fillId="25" borderId="27" xfId="0" applyFont="1" applyFill="1" applyBorder="1" applyAlignment="1">
      <alignment horizontal="center"/>
    </xf>
    <xf numFmtId="0" fontId="28" fillId="28" borderId="25" xfId="0" applyFont="1" applyFill="1" applyBorder="1" applyAlignment="1">
      <alignment horizontal="center"/>
    </xf>
    <xf numFmtId="0" fontId="28" fillId="28" borderId="27" xfId="0" applyFont="1" applyFill="1" applyBorder="1" applyAlignment="1">
      <alignment horizontal="center"/>
    </xf>
    <xf numFmtId="0" fontId="28" fillId="27" borderId="25" xfId="0" applyFont="1" applyFill="1" applyBorder="1" applyAlignment="1">
      <alignment horizontal="center"/>
    </xf>
    <xf numFmtId="0" fontId="28" fillId="27" borderId="27" xfId="0" applyFont="1" applyFill="1" applyBorder="1" applyAlignment="1">
      <alignment horizontal="center"/>
    </xf>
    <xf numFmtId="0" fontId="28" fillId="29" borderId="0" xfId="0" applyFont="1" applyFill="1" applyAlignment="1">
      <alignment horizontal="center"/>
    </xf>
    <xf numFmtId="0" fontId="28" fillId="30" borderId="25" xfId="0" applyFont="1" applyFill="1" applyBorder="1" applyAlignment="1">
      <alignment horizontal="center"/>
    </xf>
    <xf numFmtId="0" fontId="28" fillId="30" borderId="27" xfId="0" applyFont="1" applyFill="1" applyBorder="1" applyAlignment="1">
      <alignment horizontal="center"/>
    </xf>
    <xf numFmtId="0" fontId="65" fillId="8" borderId="17" xfId="0" applyFont="1" applyFill="1" applyBorder="1" applyAlignment="1">
      <alignment horizontal="center" vertical="center" wrapText="1"/>
    </xf>
    <xf numFmtId="0" fontId="65" fillId="8" borderId="19" xfId="0" applyFont="1" applyFill="1" applyBorder="1" applyAlignment="1">
      <alignment horizontal="center" vertical="center" wrapText="1"/>
    </xf>
    <xf numFmtId="0" fontId="65" fillId="8" borderId="20" xfId="0" applyFont="1" applyFill="1" applyBorder="1" applyAlignment="1">
      <alignment horizontal="center" vertical="center" wrapText="1"/>
    </xf>
    <xf numFmtId="0" fontId="65" fillId="8" borderId="21" xfId="0" applyFont="1" applyFill="1" applyBorder="1" applyAlignment="1">
      <alignment horizontal="center" vertical="center" wrapText="1"/>
    </xf>
    <xf numFmtId="0" fontId="65" fillId="8" borderId="22" xfId="0" applyFont="1" applyFill="1" applyBorder="1" applyAlignment="1">
      <alignment horizontal="center" vertical="center" wrapText="1"/>
    </xf>
    <xf numFmtId="0" fontId="65" fillId="8" borderId="24"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64" fillId="3" borderId="25" xfId="0" applyFont="1" applyFill="1" applyBorder="1" applyAlignment="1">
      <alignment horizontal="center"/>
    </xf>
    <xf numFmtId="0" fontId="64" fillId="3" borderId="26" xfId="0" applyFont="1" applyFill="1" applyBorder="1" applyAlignment="1">
      <alignment horizontal="center"/>
    </xf>
    <xf numFmtId="0" fontId="64" fillId="3" borderId="27" xfId="0" applyFont="1" applyFill="1" applyBorder="1" applyAlignment="1">
      <alignment horizontal="center"/>
    </xf>
    <xf numFmtId="0" fontId="65" fillId="8" borderId="25" xfId="0" applyFont="1" applyFill="1" applyBorder="1" applyAlignment="1">
      <alignment horizontal="center"/>
    </xf>
    <xf numFmtId="0" fontId="65" fillId="8" borderId="27" xfId="0" applyFont="1" applyFill="1" applyBorder="1" applyAlignment="1">
      <alignment horizontal="center"/>
    </xf>
    <xf numFmtId="0" fontId="65" fillId="4" borderId="25" xfId="0" applyFont="1" applyFill="1" applyBorder="1" applyAlignment="1">
      <alignment horizontal="center"/>
    </xf>
    <xf numFmtId="0" fontId="65" fillId="4" borderId="27" xfId="0" applyFont="1" applyFill="1" applyBorder="1" applyAlignment="1">
      <alignment horizontal="center"/>
    </xf>
    <xf numFmtId="0" fontId="64" fillId="3" borderId="22" xfId="0" applyFont="1" applyFill="1" applyBorder="1" applyAlignment="1">
      <alignment horizontal="center"/>
    </xf>
    <xf numFmtId="0" fontId="64" fillId="3" borderId="23" xfId="0" applyFont="1" applyFill="1" applyBorder="1" applyAlignment="1">
      <alignment horizontal="center"/>
    </xf>
    <xf numFmtId="0" fontId="64" fillId="3" borderId="24" xfId="0" applyFont="1" applyFill="1" applyBorder="1" applyAlignment="1">
      <alignment horizontal="center"/>
    </xf>
    <xf numFmtId="0" fontId="66" fillId="11" borderId="25" xfId="0" applyFont="1" applyFill="1" applyBorder="1" applyAlignment="1">
      <alignment horizontal="center"/>
    </xf>
    <xf numFmtId="0" fontId="66" fillId="11" borderId="27" xfId="0" applyFont="1" applyFill="1" applyBorder="1" applyAlignment="1">
      <alignment horizontal="center"/>
    </xf>
    <xf numFmtId="0" fontId="28" fillId="22" borderId="25" xfId="0" applyFont="1" applyFill="1" applyBorder="1" applyAlignment="1">
      <alignment horizontal="center"/>
    </xf>
    <xf numFmtId="0" fontId="28" fillId="22" borderId="27" xfId="0" applyFont="1" applyFill="1" applyBorder="1" applyAlignment="1">
      <alignment horizontal="center"/>
    </xf>
    <xf numFmtId="0" fontId="64" fillId="6" borderId="25" xfId="0" applyFont="1" applyFill="1" applyBorder="1" applyAlignment="1">
      <alignment horizontal="center"/>
    </xf>
    <xf numFmtId="0" fontId="64" fillId="6" borderId="26" xfId="0" applyFont="1" applyFill="1" applyBorder="1" applyAlignment="1">
      <alignment horizontal="center"/>
    </xf>
    <xf numFmtId="0" fontId="64" fillId="6" borderId="27" xfId="0" applyFont="1" applyFill="1" applyBorder="1" applyAlignment="1">
      <alignment horizontal="center"/>
    </xf>
    <xf numFmtId="0" fontId="24" fillId="3" borderId="17" xfId="0" applyFont="1" applyFill="1" applyBorder="1" applyAlignment="1">
      <alignment horizontal="center" vertical="center"/>
    </xf>
    <xf numFmtId="0" fontId="24" fillId="3" borderId="19" xfId="0" applyFont="1" applyFill="1" applyBorder="1" applyAlignment="1">
      <alignment horizontal="center" vertical="center"/>
    </xf>
    <xf numFmtId="0" fontId="24" fillId="3" borderId="22" xfId="0" applyFont="1" applyFill="1" applyBorder="1" applyAlignment="1">
      <alignment horizontal="center" vertical="center"/>
    </xf>
    <xf numFmtId="0" fontId="24" fillId="3" borderId="24" xfId="0" applyFont="1" applyFill="1" applyBorder="1" applyAlignment="1">
      <alignment horizontal="center" vertical="center"/>
    </xf>
    <xf numFmtId="167" fontId="24" fillId="3" borderId="17" xfId="0" applyNumberFormat="1" applyFont="1" applyFill="1" applyBorder="1" applyAlignment="1">
      <alignment horizontal="center" vertical="center"/>
    </xf>
    <xf numFmtId="167" fontId="24" fillId="3" borderId="19" xfId="0" applyNumberFormat="1" applyFont="1" applyFill="1" applyBorder="1" applyAlignment="1">
      <alignment horizontal="center" vertical="center"/>
    </xf>
    <xf numFmtId="167" fontId="24" fillId="3" borderId="22" xfId="0" applyNumberFormat="1" applyFont="1" applyFill="1" applyBorder="1" applyAlignment="1">
      <alignment horizontal="center" vertical="center"/>
    </xf>
    <xf numFmtId="167" fontId="24" fillId="3" borderId="24" xfId="0" applyNumberFormat="1" applyFont="1" applyFill="1" applyBorder="1" applyAlignment="1">
      <alignment horizontal="center" vertical="center"/>
    </xf>
    <xf numFmtId="167" fontId="22" fillId="3" borderId="17" xfId="0" applyNumberFormat="1" applyFont="1" applyFill="1" applyBorder="1" applyAlignment="1">
      <alignment horizontal="center" vertical="center"/>
    </xf>
    <xf numFmtId="167" fontId="22" fillId="3" borderId="19" xfId="0" applyNumberFormat="1" applyFont="1" applyFill="1" applyBorder="1" applyAlignment="1">
      <alignment horizontal="center" vertical="center"/>
    </xf>
    <xf numFmtId="167" fontId="22" fillId="3" borderId="22" xfId="0" applyNumberFormat="1" applyFont="1" applyFill="1" applyBorder="1" applyAlignment="1">
      <alignment horizontal="center" vertical="center"/>
    </xf>
    <xf numFmtId="167" fontId="22" fillId="3" borderId="24" xfId="0" applyNumberFormat="1" applyFont="1" applyFill="1" applyBorder="1" applyAlignment="1">
      <alignment horizontal="center" vertical="center"/>
    </xf>
    <xf numFmtId="0" fontId="24" fillId="3" borderId="28" xfId="0" applyFont="1" applyFill="1" applyBorder="1" applyAlignment="1">
      <alignment horizontal="center" vertical="center" textRotation="90"/>
    </xf>
    <xf numFmtId="0" fontId="24" fillId="3" borderId="29" xfId="0" applyFont="1" applyFill="1" applyBorder="1" applyAlignment="1">
      <alignment horizontal="center" vertical="center" textRotation="90"/>
    </xf>
    <xf numFmtId="0" fontId="24" fillId="3" borderId="30" xfId="0" applyFont="1" applyFill="1" applyBorder="1" applyAlignment="1">
      <alignment horizontal="center" vertical="center" textRotation="90"/>
    </xf>
    <xf numFmtId="167" fontId="24" fillId="3" borderId="17" xfId="1" applyNumberFormat="1" applyFont="1" applyFill="1" applyBorder="1" applyAlignment="1">
      <alignment horizontal="center" vertical="center"/>
    </xf>
    <xf numFmtId="167" fontId="24" fillId="3" borderId="19" xfId="1" applyNumberFormat="1" applyFont="1" applyFill="1" applyBorder="1" applyAlignment="1">
      <alignment horizontal="center" vertical="center"/>
    </xf>
    <xf numFmtId="167" fontId="24" fillId="3" borderId="22" xfId="1" applyNumberFormat="1" applyFont="1" applyFill="1" applyBorder="1" applyAlignment="1">
      <alignment horizontal="center" vertical="center"/>
    </xf>
    <xf numFmtId="167" fontId="24" fillId="3" borderId="24" xfId="1" applyNumberFormat="1" applyFont="1" applyFill="1" applyBorder="1" applyAlignment="1">
      <alignment horizontal="center" vertical="center"/>
    </xf>
    <xf numFmtId="0" fontId="4" fillId="3" borderId="17" xfId="0" applyFont="1" applyFill="1" applyBorder="1" applyAlignment="1">
      <alignment horizontal="center"/>
    </xf>
    <xf numFmtId="0" fontId="4" fillId="3" borderId="19" xfId="0" applyFont="1" applyFill="1" applyBorder="1" applyAlignment="1">
      <alignment horizontal="center"/>
    </xf>
    <xf numFmtId="0" fontId="23" fillId="3" borderId="1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21" xfId="0" applyFont="1" applyFill="1" applyBorder="1" applyAlignment="1">
      <alignment horizontal="center" vertical="center" wrapText="1"/>
    </xf>
    <xf numFmtId="0" fontId="4" fillId="47" borderId="25" xfId="0" applyFont="1" applyFill="1" applyBorder="1" applyAlignment="1">
      <alignment horizontal="center"/>
    </xf>
    <xf numFmtId="0" fontId="4" fillId="47" borderId="26" xfId="0" applyFont="1" applyFill="1" applyBorder="1" applyAlignment="1">
      <alignment horizontal="center"/>
    </xf>
    <xf numFmtId="0" fontId="4" fillId="47" borderId="27" xfId="0" applyFont="1" applyFill="1" applyBorder="1" applyAlignment="1">
      <alignment horizontal="center"/>
    </xf>
    <xf numFmtId="2" fontId="4" fillId="3" borderId="25" xfId="0" applyNumberFormat="1" applyFont="1" applyFill="1" applyBorder="1" applyAlignment="1">
      <alignment horizontal="center"/>
    </xf>
    <xf numFmtId="2" fontId="4" fillId="3" borderId="27" xfId="0" applyNumberFormat="1" applyFont="1" applyFill="1" applyBorder="1" applyAlignment="1">
      <alignment horizontal="center"/>
    </xf>
    <xf numFmtId="0" fontId="31" fillId="11" borderId="17" xfId="0" applyFont="1" applyFill="1" applyBorder="1" applyAlignment="1">
      <alignment horizontal="center" vertical="top"/>
    </xf>
    <xf numFmtId="0" fontId="31" fillId="11" borderId="18" xfId="0" applyFont="1" applyFill="1" applyBorder="1" applyAlignment="1">
      <alignment horizontal="center" vertical="top"/>
    </xf>
    <xf numFmtId="0" fontId="31" fillId="11" borderId="19" xfId="0" applyFont="1" applyFill="1" applyBorder="1" applyAlignment="1">
      <alignment horizontal="center" vertical="top"/>
    </xf>
    <xf numFmtId="0" fontId="31" fillId="11" borderId="20" xfId="0" applyFont="1" applyFill="1" applyBorder="1" applyAlignment="1">
      <alignment horizontal="center" vertical="top"/>
    </xf>
    <xf numFmtId="0" fontId="31" fillId="11" borderId="0" xfId="0" applyFont="1" applyFill="1" applyAlignment="1">
      <alignment horizontal="center" vertical="top"/>
    </xf>
    <xf numFmtId="0" fontId="31" fillId="11" borderId="21" xfId="0" applyFont="1" applyFill="1" applyBorder="1" applyAlignment="1">
      <alignment horizontal="center" vertical="top"/>
    </xf>
    <xf numFmtId="0" fontId="31" fillId="11" borderId="22" xfId="0" applyFont="1" applyFill="1" applyBorder="1" applyAlignment="1">
      <alignment horizontal="center" vertical="top"/>
    </xf>
    <xf numFmtId="0" fontId="31" fillId="11" borderId="23" xfId="0" applyFont="1" applyFill="1" applyBorder="1" applyAlignment="1">
      <alignment horizontal="center" vertical="top"/>
    </xf>
    <xf numFmtId="0" fontId="31" fillId="11" borderId="24" xfId="0" applyFont="1" applyFill="1" applyBorder="1" applyAlignment="1">
      <alignment horizontal="center" vertical="top"/>
    </xf>
    <xf numFmtId="0" fontId="31" fillId="9" borderId="28" xfId="0" applyFont="1" applyFill="1" applyBorder="1" applyAlignment="1">
      <alignment horizontal="center" vertical="center" textRotation="180" wrapText="1"/>
    </xf>
    <xf numFmtId="0" fontId="31" fillId="9" borderId="29" xfId="0" applyFont="1" applyFill="1" applyBorder="1" applyAlignment="1">
      <alignment horizontal="center" vertical="center" textRotation="180" wrapText="1"/>
    </xf>
    <xf numFmtId="0" fontId="31" fillId="9" borderId="30" xfId="0" applyFont="1" applyFill="1" applyBorder="1" applyAlignment="1">
      <alignment horizontal="center" vertical="center" textRotation="180" wrapText="1"/>
    </xf>
    <xf numFmtId="0" fontId="26" fillId="3" borderId="28" xfId="0" applyFont="1" applyFill="1" applyBorder="1" applyAlignment="1">
      <alignment horizontal="center" vertical="center" textRotation="180"/>
    </xf>
    <xf numFmtId="0" fontId="26" fillId="3" borderId="29" xfId="0" applyFont="1" applyFill="1" applyBorder="1" applyAlignment="1">
      <alignment horizontal="center" vertical="center" textRotation="180"/>
    </xf>
    <xf numFmtId="0" fontId="26" fillId="3" borderId="30" xfId="0" applyFont="1" applyFill="1" applyBorder="1" applyAlignment="1">
      <alignment horizontal="center" vertical="center" textRotation="180"/>
    </xf>
    <xf numFmtId="0" fontId="31" fillId="0" borderId="25" xfId="0" applyFont="1" applyBorder="1" applyAlignment="1">
      <alignment horizontal="center" vertical="center"/>
    </xf>
    <xf numFmtId="0" fontId="31" fillId="0" borderId="26" xfId="0" applyFont="1" applyBorder="1" applyAlignment="1">
      <alignment horizontal="center" vertical="center"/>
    </xf>
    <xf numFmtId="0" fontId="31" fillId="0" borderId="27" xfId="0" applyFont="1" applyBorder="1" applyAlignment="1">
      <alignment horizontal="center" vertical="center"/>
    </xf>
    <xf numFmtId="0" fontId="24" fillId="8" borderId="17" xfId="0" applyFont="1" applyFill="1" applyBorder="1" applyAlignment="1">
      <alignment horizontal="center" vertical="center"/>
    </xf>
    <xf numFmtId="0" fontId="24" fillId="8" borderId="18" xfId="0" applyFont="1" applyFill="1" applyBorder="1" applyAlignment="1">
      <alignment horizontal="center" vertical="center"/>
    </xf>
    <xf numFmtId="0" fontId="24" fillId="8" borderId="19"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0" xfId="0" applyFont="1" applyFill="1" applyAlignment="1">
      <alignment horizontal="center" vertical="center"/>
    </xf>
    <xf numFmtId="0" fontId="24" fillId="8" borderId="21" xfId="0" applyFont="1" applyFill="1" applyBorder="1" applyAlignment="1">
      <alignment horizontal="center" vertical="center"/>
    </xf>
    <xf numFmtId="0" fontId="24" fillId="8" borderId="22" xfId="0" applyFont="1" applyFill="1" applyBorder="1" applyAlignment="1">
      <alignment horizontal="center" vertical="center"/>
    </xf>
    <xf numFmtId="0" fontId="24" fillId="8" borderId="23" xfId="0" applyFont="1" applyFill="1" applyBorder="1" applyAlignment="1">
      <alignment horizontal="center" vertical="center"/>
    </xf>
    <xf numFmtId="0" fontId="24" fillId="8" borderId="24" xfId="0" applyFont="1" applyFill="1" applyBorder="1" applyAlignment="1">
      <alignment horizontal="center" vertical="center"/>
    </xf>
    <xf numFmtId="0" fontId="31" fillId="0" borderId="20" xfId="0" applyFont="1" applyBorder="1" applyAlignment="1">
      <alignment horizontal="center" vertical="center"/>
    </xf>
    <xf numFmtId="0" fontId="31" fillId="0" borderId="0" xfId="0" applyFont="1" applyAlignment="1">
      <alignment horizontal="center" vertical="center"/>
    </xf>
    <xf numFmtId="0" fontId="31" fillId="0" borderId="21" xfId="0" applyFont="1" applyBorder="1" applyAlignment="1">
      <alignment horizontal="center" vertic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29" fillId="7" borderId="17" xfId="0" applyFont="1" applyFill="1" applyBorder="1" applyAlignment="1">
      <alignment horizontal="center" vertical="center"/>
    </xf>
    <xf numFmtId="0" fontId="29" fillId="7" borderId="18" xfId="0" applyFont="1" applyFill="1" applyBorder="1" applyAlignment="1">
      <alignment horizontal="center" vertical="center"/>
    </xf>
    <xf numFmtId="0" fontId="29" fillId="7" borderId="19" xfId="0" applyFont="1" applyFill="1" applyBorder="1" applyAlignment="1">
      <alignment horizontal="center" vertical="center"/>
    </xf>
    <xf numFmtId="0" fontId="29" fillId="7" borderId="22" xfId="0" applyFont="1" applyFill="1" applyBorder="1" applyAlignment="1">
      <alignment horizontal="center" vertical="center"/>
    </xf>
    <xf numFmtId="0" fontId="29" fillId="7" borderId="23" xfId="0" applyFont="1" applyFill="1" applyBorder="1" applyAlignment="1">
      <alignment horizontal="center" vertical="center"/>
    </xf>
    <xf numFmtId="0" fontId="29" fillId="7" borderId="24" xfId="0" applyFont="1" applyFill="1" applyBorder="1" applyAlignment="1">
      <alignment horizontal="center" vertical="center"/>
    </xf>
    <xf numFmtId="0" fontId="27" fillId="3" borderId="17" xfId="0" applyFont="1" applyFill="1" applyBorder="1" applyAlignment="1">
      <alignment horizontal="center" vertical="center"/>
    </xf>
    <xf numFmtId="0" fontId="27" fillId="3" borderId="18" xfId="0" applyFont="1" applyFill="1" applyBorder="1" applyAlignment="1">
      <alignment horizontal="center" vertical="center"/>
    </xf>
    <xf numFmtId="0" fontId="27" fillId="3" borderId="19"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0" xfId="0" applyFont="1" applyFill="1" applyAlignment="1">
      <alignment horizontal="center" vertical="center"/>
    </xf>
    <xf numFmtId="0" fontId="27" fillId="3" borderId="21"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0" fontId="31" fillId="0" borderId="0" xfId="0" applyFont="1" applyAlignment="1">
      <alignment horizontal="center"/>
    </xf>
    <xf numFmtId="164" fontId="0" fillId="0" borderId="0" xfId="1" applyNumberFormat="1" applyFont="1" applyAlignment="1">
      <alignment horizontal="center"/>
    </xf>
    <xf numFmtId="164" fontId="31" fillId="0" borderId="17" xfId="1" applyNumberFormat="1" applyFont="1" applyBorder="1" applyAlignment="1">
      <alignment horizontal="center" vertical="center"/>
    </xf>
    <xf numFmtId="164" fontId="31" fillId="0" borderId="18" xfId="1" applyNumberFormat="1" applyFont="1" applyBorder="1" applyAlignment="1">
      <alignment horizontal="center" vertical="center"/>
    </xf>
    <xf numFmtId="164" fontId="31" fillId="0" borderId="19" xfId="1" applyNumberFormat="1" applyFont="1" applyBorder="1" applyAlignment="1">
      <alignment horizontal="center" vertical="center"/>
    </xf>
    <xf numFmtId="164" fontId="31" fillId="0" borderId="22" xfId="1" applyNumberFormat="1" applyFont="1" applyBorder="1" applyAlignment="1">
      <alignment horizontal="center" vertical="center"/>
    </xf>
    <xf numFmtId="164" fontId="31" fillId="0" borderId="23" xfId="1" applyNumberFormat="1" applyFont="1" applyBorder="1" applyAlignment="1">
      <alignment horizontal="center" vertical="center"/>
    </xf>
    <xf numFmtId="164" fontId="31" fillId="0" borderId="24" xfId="1" applyNumberFormat="1" applyFont="1" applyBorder="1" applyAlignment="1">
      <alignment horizontal="center" vertical="center"/>
    </xf>
    <xf numFmtId="0" fontId="22" fillId="3" borderId="17"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3" borderId="19"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0" xfId="0" applyFont="1" applyFill="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24" xfId="0" applyFont="1" applyFill="1" applyBorder="1" applyAlignment="1">
      <alignment horizontal="center" vertical="center" wrapText="1"/>
    </xf>
    <xf numFmtId="164" fontId="24" fillId="3" borderId="17" xfId="1" applyNumberFormat="1" applyFont="1" applyFill="1" applyBorder="1" applyAlignment="1">
      <alignment horizontal="center" vertical="center"/>
    </xf>
    <xf numFmtId="164" fontId="24" fillId="3" borderId="19" xfId="1" applyNumberFormat="1" applyFont="1" applyFill="1" applyBorder="1" applyAlignment="1">
      <alignment horizontal="center" vertical="center"/>
    </xf>
    <xf numFmtId="164" fontId="24" fillId="3" borderId="22" xfId="1" applyNumberFormat="1" applyFont="1" applyFill="1" applyBorder="1" applyAlignment="1">
      <alignment horizontal="center" vertical="center"/>
    </xf>
    <xf numFmtId="164" fontId="24" fillId="3" borderId="24" xfId="1" applyNumberFormat="1" applyFont="1" applyFill="1" applyBorder="1" applyAlignment="1">
      <alignment horizontal="center" vertical="center"/>
    </xf>
    <xf numFmtId="167" fontId="1" fillId="3" borderId="28" xfId="1" applyNumberFormat="1" applyFont="1" applyFill="1" applyBorder="1" applyAlignment="1">
      <alignment horizontal="center" vertical="center"/>
    </xf>
    <xf numFmtId="167" fontId="1" fillId="3" borderId="30" xfId="1" applyNumberFormat="1" applyFont="1" applyFill="1" applyBorder="1" applyAlignment="1">
      <alignment horizontal="center" vertical="center"/>
    </xf>
    <xf numFmtId="10" fontId="24" fillId="3" borderId="28" xfId="2" applyNumberFormat="1" applyFont="1" applyFill="1" applyBorder="1" applyAlignment="1">
      <alignment horizontal="center" vertical="center"/>
    </xf>
    <xf numFmtId="10" fontId="24" fillId="3" borderId="30" xfId="2" applyNumberFormat="1" applyFont="1" applyFill="1" applyBorder="1" applyAlignment="1">
      <alignment horizontal="center" vertical="center"/>
    </xf>
    <xf numFmtId="164" fontId="4" fillId="0" borderId="0" xfId="1" applyNumberFormat="1" applyFont="1" applyAlignment="1">
      <alignment horizontal="center"/>
    </xf>
    <xf numFmtId="0" fontId="22" fillId="3" borderId="17" xfId="0" applyFont="1" applyFill="1" applyBorder="1" applyAlignment="1">
      <alignment horizontal="center" vertical="top" wrapText="1"/>
    </xf>
    <xf numFmtId="0" fontId="22" fillId="3" borderId="18" xfId="0" applyFont="1" applyFill="1" applyBorder="1" applyAlignment="1">
      <alignment horizontal="center" vertical="top" wrapText="1"/>
    </xf>
    <xf numFmtId="0" fontId="22" fillId="3" borderId="19" xfId="0" applyFont="1" applyFill="1" applyBorder="1" applyAlignment="1">
      <alignment horizontal="center" vertical="top" wrapText="1"/>
    </xf>
    <xf numFmtId="0" fontId="22" fillId="3" borderId="20" xfId="0" applyFont="1" applyFill="1" applyBorder="1" applyAlignment="1">
      <alignment horizontal="center" vertical="top" wrapText="1"/>
    </xf>
    <xf numFmtId="0" fontId="22" fillId="3" borderId="0" xfId="0" applyFont="1" applyFill="1" applyAlignment="1">
      <alignment horizontal="center" vertical="top" wrapText="1"/>
    </xf>
    <xf numFmtId="0" fontId="22" fillId="3" borderId="21" xfId="0" applyFont="1" applyFill="1" applyBorder="1" applyAlignment="1">
      <alignment horizontal="center" vertical="top" wrapText="1"/>
    </xf>
    <xf numFmtId="0" fontId="22" fillId="3" borderId="22" xfId="0" applyFont="1" applyFill="1" applyBorder="1" applyAlignment="1">
      <alignment horizontal="center" vertical="top" wrapText="1"/>
    </xf>
    <xf numFmtId="0" fontId="22" fillId="3" borderId="23" xfId="0" applyFont="1" applyFill="1" applyBorder="1" applyAlignment="1">
      <alignment horizontal="center" vertical="top" wrapText="1"/>
    </xf>
    <xf numFmtId="0" fontId="22" fillId="3" borderId="24" xfId="0" applyFont="1" applyFill="1" applyBorder="1" applyAlignment="1">
      <alignment horizontal="center" vertical="top" wrapText="1"/>
    </xf>
    <xf numFmtId="10" fontId="4" fillId="10" borderId="25" xfId="2" applyNumberFormat="1" applyFont="1" applyFill="1" applyBorder="1" applyAlignment="1">
      <alignment horizontal="center"/>
    </xf>
    <xf numFmtId="10" fontId="4" fillId="10" borderId="27" xfId="2" applyNumberFormat="1" applyFont="1" applyFill="1" applyBorder="1" applyAlignment="1">
      <alignment horizont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9" xfId="0" applyFont="1" applyBorder="1" applyAlignment="1">
      <alignment horizontal="center" vertical="center"/>
    </xf>
    <xf numFmtId="0" fontId="26" fillId="0" borderId="22" xfId="0" applyFont="1" applyBorder="1" applyAlignment="1">
      <alignment horizontal="center" vertical="center"/>
    </xf>
    <xf numFmtId="0" fontId="26" fillId="0" borderId="23" xfId="0" applyFont="1" applyBorder="1" applyAlignment="1">
      <alignment horizontal="center" vertical="center"/>
    </xf>
    <xf numFmtId="0" fontId="26" fillId="0" borderId="24" xfId="0" applyFont="1" applyBorder="1" applyAlignment="1">
      <alignment horizontal="center" vertical="center"/>
    </xf>
    <xf numFmtId="10" fontId="13" fillId="14" borderId="25" xfId="0" applyNumberFormat="1" applyFont="1" applyFill="1" applyBorder="1" applyAlignment="1">
      <alignment horizontal="center"/>
    </xf>
    <xf numFmtId="0" fontId="13" fillId="14" borderId="27" xfId="0" applyFont="1" applyFill="1" applyBorder="1" applyAlignment="1">
      <alignment horizontal="center"/>
    </xf>
    <xf numFmtId="10" fontId="2" fillId="15" borderId="25" xfId="0" applyNumberFormat="1" applyFont="1" applyFill="1" applyBorder="1" applyAlignment="1">
      <alignment horizontal="center"/>
    </xf>
    <xf numFmtId="0" fontId="2" fillId="15" borderId="27" xfId="0" applyFont="1" applyFill="1" applyBorder="1" applyAlignment="1">
      <alignment horizontal="center"/>
    </xf>
    <xf numFmtId="0" fontId="4" fillId="9" borderId="25" xfId="0" applyFont="1" applyFill="1" applyBorder="1" applyAlignment="1">
      <alignment horizontal="center"/>
    </xf>
    <xf numFmtId="0" fontId="4" fillId="9" borderId="27" xfId="0" applyFont="1" applyFill="1" applyBorder="1" applyAlignment="1">
      <alignment horizontal="center"/>
    </xf>
    <xf numFmtId="0" fontId="25" fillId="11" borderId="17" xfId="0" applyFont="1" applyFill="1" applyBorder="1" applyAlignment="1">
      <alignment horizontal="center" vertical="center" wrapText="1"/>
    </xf>
    <xf numFmtId="0" fontId="25" fillId="11" borderId="18"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5" fillId="11" borderId="20" xfId="0" applyFont="1" applyFill="1" applyBorder="1" applyAlignment="1">
      <alignment horizontal="center" vertical="center" wrapText="1"/>
    </xf>
    <xf numFmtId="0" fontId="25" fillId="11" borderId="0" xfId="0" applyFont="1" applyFill="1" applyAlignment="1">
      <alignment horizontal="center" vertical="center" wrapText="1"/>
    </xf>
    <xf numFmtId="0" fontId="25" fillId="11" borderId="21"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3"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26" fillId="11" borderId="17" xfId="0" applyFont="1" applyFill="1" applyBorder="1" applyAlignment="1">
      <alignment horizontal="center" vertical="center" wrapText="1"/>
    </xf>
    <xf numFmtId="0" fontId="26" fillId="11" borderId="18" xfId="0" applyFont="1" applyFill="1" applyBorder="1" applyAlignment="1">
      <alignment horizontal="center" vertical="center" wrapText="1"/>
    </xf>
    <xf numFmtId="0" fontId="26" fillId="11" borderId="19" xfId="0" applyFont="1" applyFill="1" applyBorder="1" applyAlignment="1">
      <alignment horizontal="center" vertical="center" wrapText="1"/>
    </xf>
    <xf numFmtId="0" fontId="26" fillId="11" borderId="20" xfId="0" applyFont="1" applyFill="1" applyBorder="1" applyAlignment="1">
      <alignment horizontal="center" vertical="center" wrapText="1"/>
    </xf>
    <xf numFmtId="0" fontId="26" fillId="11" borderId="0" xfId="0" applyFont="1" applyFill="1" applyAlignment="1">
      <alignment horizontal="center" vertical="center" wrapText="1"/>
    </xf>
    <xf numFmtId="0" fontId="26" fillId="11" borderId="21" xfId="0" applyFont="1" applyFill="1" applyBorder="1" applyAlignment="1">
      <alignment horizontal="center" vertical="center" wrapText="1"/>
    </xf>
    <xf numFmtId="0" fontId="26" fillId="11" borderId="22" xfId="0" applyFont="1" applyFill="1" applyBorder="1" applyAlignment="1">
      <alignment horizontal="center" vertical="center" wrapText="1"/>
    </xf>
    <xf numFmtId="0" fontId="26" fillId="11" borderId="23" xfId="0" applyFont="1" applyFill="1" applyBorder="1" applyAlignment="1">
      <alignment horizontal="center" vertical="center" wrapText="1"/>
    </xf>
    <xf numFmtId="0" fontId="26" fillId="11" borderId="24" xfId="0" applyFont="1" applyFill="1" applyBorder="1" applyAlignment="1">
      <alignment horizontal="center" vertical="center" wrapText="1"/>
    </xf>
    <xf numFmtId="0" fontId="26" fillId="3" borderId="17"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19" xfId="0" applyFont="1" applyFill="1" applyBorder="1" applyAlignment="1">
      <alignment horizontal="center" vertical="center"/>
    </xf>
    <xf numFmtId="0" fontId="26" fillId="3" borderId="22" xfId="0" applyFont="1" applyFill="1" applyBorder="1" applyAlignment="1">
      <alignment horizontal="center" vertical="center"/>
    </xf>
    <xf numFmtId="0" fontId="26" fillId="3" borderId="23" xfId="0" applyFont="1" applyFill="1" applyBorder="1" applyAlignment="1">
      <alignment horizontal="center" vertical="center"/>
    </xf>
    <xf numFmtId="0" fontId="26" fillId="3" borderId="24" xfId="0" applyFont="1" applyFill="1" applyBorder="1" applyAlignment="1">
      <alignment horizontal="center" vertical="center"/>
    </xf>
    <xf numFmtId="0" fontId="0" fillId="11" borderId="17" xfId="0" applyFill="1" applyBorder="1" applyAlignment="1">
      <alignment horizontal="center"/>
    </xf>
    <xf numFmtId="0" fontId="0" fillId="11" borderId="18" xfId="0" applyFill="1" applyBorder="1" applyAlignment="1">
      <alignment horizontal="center"/>
    </xf>
    <xf numFmtId="0" fontId="0" fillId="11" borderId="19" xfId="0" applyFill="1" applyBorder="1" applyAlignment="1">
      <alignment horizontal="center"/>
    </xf>
    <xf numFmtId="0" fontId="0" fillId="11" borderId="20" xfId="0" applyFill="1" applyBorder="1" applyAlignment="1">
      <alignment horizontal="center"/>
    </xf>
    <xf numFmtId="0" fontId="0" fillId="11" borderId="0" xfId="0" applyFill="1" applyAlignment="1">
      <alignment horizontal="center"/>
    </xf>
    <xf numFmtId="0" fontId="0" fillId="11" borderId="21" xfId="0" applyFill="1" applyBorder="1" applyAlignment="1">
      <alignment horizontal="center"/>
    </xf>
    <xf numFmtId="0" fontId="0" fillId="11" borderId="22" xfId="0" applyFill="1" applyBorder="1" applyAlignment="1">
      <alignment horizontal="center"/>
    </xf>
    <xf numFmtId="0" fontId="0" fillId="11" borderId="23" xfId="0" applyFill="1" applyBorder="1" applyAlignment="1">
      <alignment horizontal="center"/>
    </xf>
    <xf numFmtId="0" fontId="0" fillId="11" borderId="24" xfId="0" applyFill="1" applyBorder="1" applyAlignment="1">
      <alignment horizontal="center"/>
    </xf>
    <xf numFmtId="0" fontId="25" fillId="3" borderId="1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19"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23" xfId="0" applyFont="1" applyFill="1" applyBorder="1" applyAlignment="1">
      <alignment horizontal="center" vertical="center"/>
    </xf>
    <xf numFmtId="0" fontId="25" fillId="3" borderId="24" xfId="0" applyFont="1" applyFill="1" applyBorder="1" applyAlignment="1">
      <alignment horizontal="center" vertical="center"/>
    </xf>
    <xf numFmtId="166" fontId="26" fillId="3" borderId="17" xfId="0" applyNumberFormat="1" applyFont="1" applyFill="1" applyBorder="1" applyAlignment="1">
      <alignment horizontal="center" vertical="center"/>
    </xf>
    <xf numFmtId="166" fontId="26" fillId="3" borderId="18" xfId="0" applyNumberFormat="1" applyFont="1" applyFill="1" applyBorder="1" applyAlignment="1">
      <alignment horizontal="center" vertical="center"/>
    </xf>
    <xf numFmtId="166" fontId="26" fillId="3" borderId="19" xfId="0" applyNumberFormat="1" applyFont="1" applyFill="1" applyBorder="1" applyAlignment="1">
      <alignment horizontal="center" vertical="center"/>
    </xf>
    <xf numFmtId="166" fontId="26" fillId="3" borderId="22" xfId="0" applyNumberFormat="1" applyFont="1" applyFill="1" applyBorder="1" applyAlignment="1">
      <alignment horizontal="center" vertical="center"/>
    </xf>
    <xf numFmtId="166" fontId="26" fillId="3" borderId="23" xfId="0" applyNumberFormat="1" applyFont="1" applyFill="1" applyBorder="1" applyAlignment="1">
      <alignment horizontal="center" vertical="center"/>
    </xf>
    <xf numFmtId="166" fontId="26" fillId="3" borderId="24" xfId="0" applyNumberFormat="1" applyFont="1" applyFill="1" applyBorder="1" applyAlignment="1">
      <alignment horizontal="center" vertical="center"/>
    </xf>
    <xf numFmtId="0" fontId="26" fillId="3" borderId="20" xfId="0" applyFont="1" applyFill="1" applyBorder="1" applyAlignment="1">
      <alignment horizontal="center" vertical="center"/>
    </xf>
    <xf numFmtId="0" fontId="26" fillId="3" borderId="0" xfId="0" applyFont="1" applyFill="1" applyAlignment="1">
      <alignment horizontal="center" vertical="center"/>
    </xf>
    <xf numFmtId="0" fontId="26" fillId="3" borderId="21" xfId="0"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3" fillId="3" borderId="20" xfId="0" applyFont="1" applyFill="1" applyBorder="1" applyAlignment="1">
      <alignment horizontal="center" vertical="center"/>
    </xf>
    <xf numFmtId="0" fontId="23" fillId="3" borderId="0" xfId="0" applyFont="1" applyFill="1" applyAlignment="1">
      <alignment horizontal="center" vertical="center"/>
    </xf>
    <xf numFmtId="0" fontId="23" fillId="3" borderId="21" xfId="0" applyFont="1" applyFill="1" applyBorder="1" applyAlignment="1">
      <alignment horizontal="center" vertical="center"/>
    </xf>
    <xf numFmtId="0" fontId="23" fillId="3" borderId="22" xfId="0" applyFont="1" applyFill="1" applyBorder="1" applyAlignment="1">
      <alignment horizontal="center" vertical="center"/>
    </xf>
    <xf numFmtId="0" fontId="23" fillId="3" borderId="23" xfId="0" applyFont="1" applyFill="1" applyBorder="1" applyAlignment="1">
      <alignment horizontal="center" vertical="center"/>
    </xf>
    <xf numFmtId="0" fontId="23" fillId="3" borderId="24" xfId="0" applyFont="1" applyFill="1" applyBorder="1" applyAlignment="1">
      <alignment horizontal="center" vertic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20" xfId="0" applyFill="1" applyBorder="1" applyAlignment="1">
      <alignment horizontal="center"/>
    </xf>
    <xf numFmtId="0" fontId="0" fillId="3" borderId="0" xfId="0" applyFill="1" applyAlignment="1">
      <alignment horizontal="center"/>
    </xf>
    <xf numFmtId="0" fontId="0" fillId="3" borderId="21"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4" fillId="3" borderId="17"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21"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4" xfId="0" applyFont="1" applyFill="1" applyBorder="1" applyAlignment="1">
      <alignment horizontal="center" vertical="center" wrapText="1"/>
    </xf>
    <xf numFmtId="167" fontId="26" fillId="3" borderId="17" xfId="0" applyNumberFormat="1" applyFont="1" applyFill="1" applyBorder="1" applyAlignment="1">
      <alignment horizontal="center" vertical="center"/>
    </xf>
    <xf numFmtId="167" fontId="26" fillId="3" borderId="19" xfId="0" applyNumberFormat="1" applyFont="1" applyFill="1" applyBorder="1" applyAlignment="1">
      <alignment horizontal="center" vertical="center"/>
    </xf>
    <xf numFmtId="167" fontId="26" fillId="3" borderId="20" xfId="0" applyNumberFormat="1" applyFont="1" applyFill="1" applyBorder="1" applyAlignment="1">
      <alignment horizontal="center" vertical="center"/>
    </xf>
    <xf numFmtId="167" fontId="26" fillId="3" borderId="21" xfId="0" applyNumberFormat="1" applyFont="1" applyFill="1" applyBorder="1" applyAlignment="1">
      <alignment horizontal="center" vertical="center"/>
    </xf>
    <xf numFmtId="167" fontId="26" fillId="3" borderId="22" xfId="0" applyNumberFormat="1" applyFont="1" applyFill="1" applyBorder="1" applyAlignment="1">
      <alignment horizontal="center" vertical="center"/>
    </xf>
    <xf numFmtId="167" fontId="26" fillId="3" borderId="24" xfId="0" applyNumberFormat="1" applyFont="1" applyFill="1" applyBorder="1" applyAlignment="1">
      <alignment horizontal="center" vertical="center"/>
    </xf>
    <xf numFmtId="0" fontId="0" fillId="3" borderId="17" xfId="0" applyFill="1" applyBorder="1" applyAlignment="1">
      <alignment horizontal="center" wrapText="1"/>
    </xf>
    <xf numFmtId="0" fontId="0" fillId="3" borderId="18" xfId="0" applyFill="1" applyBorder="1" applyAlignment="1">
      <alignment horizontal="center" wrapText="1"/>
    </xf>
    <xf numFmtId="0" fontId="0" fillId="3" borderId="19" xfId="0" applyFill="1" applyBorder="1" applyAlignment="1">
      <alignment horizontal="center" wrapText="1"/>
    </xf>
    <xf numFmtId="0" fontId="0" fillId="3" borderId="20" xfId="0" applyFill="1" applyBorder="1" applyAlignment="1">
      <alignment horizontal="center" wrapText="1"/>
    </xf>
    <xf numFmtId="0" fontId="0" fillId="3" borderId="0" xfId="0" applyFill="1" applyAlignment="1">
      <alignment horizontal="center" wrapText="1"/>
    </xf>
    <xf numFmtId="0" fontId="0" fillId="3" borderId="21" xfId="0" applyFill="1" applyBorder="1" applyAlignment="1">
      <alignment horizontal="center" wrapText="1"/>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0" fontId="23" fillId="3" borderId="22"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86" fillId="0" borderId="0" xfId="0" applyFont="1" applyAlignment="1">
      <alignment horizontal="left" vertical="center" wrapText="1" shrinkToFit="1"/>
    </xf>
    <xf numFmtId="0" fontId="25" fillId="49" borderId="0" xfId="0" applyFont="1" applyFill="1" applyAlignment="1">
      <alignment horizontal="left" vertical="center" textRotation="90" wrapText="1"/>
    </xf>
    <xf numFmtId="0" fontId="25" fillId="49" borderId="0" xfId="0" applyFont="1" applyFill="1" applyAlignment="1">
      <alignment horizontal="left" vertical="center" textRotation="90"/>
    </xf>
    <xf numFmtId="0" fontId="65" fillId="0" borderId="17" xfId="0" applyFont="1" applyBorder="1" applyAlignment="1">
      <alignment horizontal="center" vertical="center"/>
    </xf>
    <xf numFmtId="0" fontId="65" fillId="0" borderId="18" xfId="0" applyFont="1" applyBorder="1" applyAlignment="1">
      <alignment horizontal="center" vertical="center"/>
    </xf>
    <xf numFmtId="0" fontId="65" fillId="0" borderId="19" xfId="0" applyFont="1" applyBorder="1" applyAlignment="1">
      <alignment horizontal="center" vertical="center"/>
    </xf>
    <xf numFmtId="0" fontId="65" fillId="0" borderId="22" xfId="0" applyFont="1" applyBorder="1" applyAlignment="1">
      <alignment horizontal="center" vertical="center"/>
    </xf>
    <xf numFmtId="0" fontId="65" fillId="0" borderId="23" xfId="0" applyFont="1" applyBorder="1" applyAlignment="1">
      <alignment horizontal="center" vertical="center"/>
    </xf>
    <xf numFmtId="0" fontId="65" fillId="0" borderId="24" xfId="0" applyFont="1" applyBorder="1" applyAlignment="1">
      <alignment horizontal="center" vertical="center"/>
    </xf>
    <xf numFmtId="0" fontId="22" fillId="8" borderId="17" xfId="0" applyFont="1" applyFill="1" applyBorder="1" applyAlignment="1">
      <alignment horizontal="center" vertical="center" wrapText="1"/>
    </xf>
    <xf numFmtId="0" fontId="22" fillId="8" borderId="18" xfId="0" applyFont="1" applyFill="1" applyBorder="1" applyAlignment="1">
      <alignment horizontal="center" vertical="center"/>
    </xf>
    <xf numFmtId="0" fontId="22" fillId="8" borderId="19" xfId="0" applyFont="1" applyFill="1" applyBorder="1" applyAlignment="1">
      <alignment horizontal="center" vertical="center"/>
    </xf>
    <xf numFmtId="0" fontId="22" fillId="8" borderId="20" xfId="0" applyFont="1" applyFill="1" applyBorder="1" applyAlignment="1">
      <alignment horizontal="center" vertical="center"/>
    </xf>
    <xf numFmtId="0" fontId="22" fillId="8" borderId="0" xfId="0" applyFont="1" applyFill="1" applyAlignment="1">
      <alignment horizontal="center" vertical="center"/>
    </xf>
    <xf numFmtId="0" fontId="22" fillId="8" borderId="21" xfId="0" applyFont="1" applyFill="1" applyBorder="1" applyAlignment="1">
      <alignment horizontal="center" vertical="center"/>
    </xf>
    <xf numFmtId="0" fontId="22" fillId="8" borderId="22" xfId="0" applyFont="1" applyFill="1" applyBorder="1" applyAlignment="1">
      <alignment horizontal="center" vertical="center"/>
    </xf>
    <xf numFmtId="0" fontId="22" fillId="8" borderId="23" xfId="0" applyFont="1" applyFill="1" applyBorder="1" applyAlignment="1">
      <alignment horizontal="center" vertical="center"/>
    </xf>
    <xf numFmtId="0" fontId="22" fillId="8" borderId="24" xfId="0" applyFont="1" applyFill="1" applyBorder="1" applyAlignment="1">
      <alignment horizontal="center" vertical="center"/>
    </xf>
    <xf numFmtId="0" fontId="48" fillId="43" borderId="17" xfId="0" applyFont="1" applyFill="1" applyBorder="1" applyAlignment="1">
      <alignment horizontal="center" vertical="center" wrapText="1"/>
    </xf>
    <xf numFmtId="0" fontId="22" fillId="43" borderId="18" xfId="0" applyFont="1" applyFill="1" applyBorder="1" applyAlignment="1">
      <alignment horizontal="center" vertical="center"/>
    </xf>
    <xf numFmtId="0" fontId="22" fillId="43" borderId="19" xfId="0" applyFont="1" applyFill="1" applyBorder="1" applyAlignment="1">
      <alignment horizontal="center" vertical="center"/>
    </xf>
    <xf numFmtId="0" fontId="22" fillId="43" borderId="20" xfId="0" applyFont="1" applyFill="1" applyBorder="1" applyAlignment="1">
      <alignment horizontal="center" vertical="center"/>
    </xf>
    <xf numFmtId="0" fontId="22" fillId="43" borderId="0" xfId="0" applyFont="1" applyFill="1" applyAlignment="1">
      <alignment horizontal="center" vertical="center"/>
    </xf>
    <xf numFmtId="0" fontId="22" fillId="43" borderId="21" xfId="0" applyFont="1" applyFill="1" applyBorder="1" applyAlignment="1">
      <alignment horizontal="center" vertical="center"/>
    </xf>
    <xf numFmtId="0" fontId="22" fillId="43" borderId="22" xfId="0" applyFont="1" applyFill="1" applyBorder="1" applyAlignment="1">
      <alignment horizontal="center" vertical="center"/>
    </xf>
    <xf numFmtId="0" fontId="22" fillId="43" borderId="23" xfId="0" applyFont="1" applyFill="1" applyBorder="1" applyAlignment="1">
      <alignment horizontal="center" vertical="center"/>
    </xf>
    <xf numFmtId="0" fontId="22" fillId="43" borderId="24" xfId="0" applyFont="1" applyFill="1" applyBorder="1" applyAlignment="1">
      <alignment horizontal="center" vertical="center"/>
    </xf>
    <xf numFmtId="0" fontId="48" fillId="11" borderId="17" xfId="0" applyFont="1" applyFill="1" applyBorder="1" applyAlignment="1">
      <alignment horizontal="center" vertical="center" wrapText="1"/>
    </xf>
    <xf numFmtId="0" fontId="22" fillId="11" borderId="18" xfId="0" applyFont="1" applyFill="1" applyBorder="1" applyAlignment="1">
      <alignment horizontal="center" vertical="center"/>
    </xf>
    <xf numFmtId="0" fontId="22" fillId="11" borderId="19" xfId="0" applyFont="1" applyFill="1" applyBorder="1" applyAlignment="1">
      <alignment horizontal="center" vertical="center"/>
    </xf>
    <xf numFmtId="0" fontId="22" fillId="11" borderId="20" xfId="0" applyFont="1" applyFill="1" applyBorder="1" applyAlignment="1">
      <alignment horizontal="center" vertical="center"/>
    </xf>
    <xf numFmtId="0" fontId="22" fillId="11" borderId="0" xfId="0" applyFont="1" applyFill="1" applyAlignment="1">
      <alignment horizontal="center" vertical="center"/>
    </xf>
    <xf numFmtId="0" fontId="22" fillId="11" borderId="21" xfId="0" applyFont="1" applyFill="1" applyBorder="1" applyAlignment="1">
      <alignment horizontal="center" vertical="center"/>
    </xf>
    <xf numFmtId="0" fontId="22" fillId="11" borderId="22" xfId="0" applyFont="1" applyFill="1" applyBorder="1" applyAlignment="1">
      <alignment horizontal="center" vertical="center"/>
    </xf>
    <xf numFmtId="0" fontId="22" fillId="11" borderId="23" xfId="0" applyFont="1" applyFill="1" applyBorder="1" applyAlignment="1">
      <alignment horizontal="center" vertical="center"/>
    </xf>
    <xf numFmtId="0" fontId="22" fillId="11" borderId="24" xfId="0" applyFont="1" applyFill="1" applyBorder="1" applyAlignment="1">
      <alignment horizontal="center" vertical="center"/>
    </xf>
    <xf numFmtId="0" fontId="0" fillId="35" borderId="17" xfId="0" applyFill="1" applyBorder="1" applyAlignment="1">
      <alignment horizontal="left" vertical="center" wrapText="1"/>
    </xf>
    <xf numFmtId="0" fontId="0" fillId="35" borderId="18" xfId="0" applyFill="1" applyBorder="1" applyAlignment="1">
      <alignment horizontal="left" vertical="center" wrapText="1"/>
    </xf>
    <xf numFmtId="0" fontId="0" fillId="35" borderId="19" xfId="0" applyFill="1" applyBorder="1" applyAlignment="1">
      <alignment horizontal="left" vertical="center" wrapText="1"/>
    </xf>
    <xf numFmtId="0" fontId="0" fillId="35" borderId="20" xfId="0" applyFill="1" applyBorder="1" applyAlignment="1">
      <alignment horizontal="left" vertical="center" wrapText="1"/>
    </xf>
    <xf numFmtId="0" fontId="0" fillId="35" borderId="0" xfId="0" applyFill="1" applyAlignment="1">
      <alignment horizontal="left" vertical="center" wrapText="1"/>
    </xf>
    <xf numFmtId="0" fontId="0" fillId="35" borderId="21" xfId="0" applyFill="1" applyBorder="1" applyAlignment="1">
      <alignment horizontal="left" vertical="center" wrapText="1"/>
    </xf>
    <xf numFmtId="0" fontId="0" fillId="35" borderId="22" xfId="0" applyFill="1" applyBorder="1" applyAlignment="1">
      <alignment horizontal="left" vertical="center" wrapText="1"/>
    </xf>
    <xf numFmtId="0" fontId="0" fillId="35" borderId="23" xfId="0" applyFill="1" applyBorder="1" applyAlignment="1">
      <alignment horizontal="left" vertical="center" wrapText="1"/>
    </xf>
    <xf numFmtId="0" fontId="0" fillId="35" borderId="24" xfId="0" applyFill="1" applyBorder="1" applyAlignment="1">
      <alignment horizontal="left" vertical="center" wrapText="1"/>
    </xf>
    <xf numFmtId="0" fontId="23" fillId="3" borderId="17" xfId="0" applyFont="1" applyFill="1" applyBorder="1" applyAlignment="1">
      <alignment horizontal="center" vertical="center"/>
    </xf>
    <xf numFmtId="167" fontId="24" fillId="3" borderId="20" xfId="0" applyNumberFormat="1" applyFont="1" applyFill="1" applyBorder="1" applyAlignment="1">
      <alignment horizontal="center" vertical="center"/>
    </xf>
    <xf numFmtId="167" fontId="24" fillId="3" borderId="21" xfId="0" applyNumberFormat="1" applyFont="1" applyFill="1" applyBorder="1" applyAlignment="1">
      <alignment horizontal="center" vertical="center"/>
    </xf>
    <xf numFmtId="0" fontId="0" fillId="3" borderId="17"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0" xfId="0" applyFill="1" applyAlignment="1">
      <alignment horizontal="center" vertical="center" wrapText="1"/>
    </xf>
    <xf numFmtId="0" fontId="0" fillId="3" borderId="21"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5" xfId="0" applyFill="1" applyBorder="1" applyAlignment="1">
      <alignment horizontal="center"/>
    </xf>
    <xf numFmtId="0" fontId="0" fillId="3" borderId="26" xfId="0" applyFill="1" applyBorder="1" applyAlignment="1">
      <alignment horizontal="center"/>
    </xf>
    <xf numFmtId="0" fontId="0" fillId="3" borderId="27" xfId="0" applyFill="1" applyBorder="1" applyAlignment="1">
      <alignment horizontal="center"/>
    </xf>
    <xf numFmtId="166" fontId="23" fillId="3" borderId="25" xfId="1" applyNumberFormat="1" applyFont="1" applyFill="1" applyBorder="1" applyAlignment="1">
      <alignment horizontal="center"/>
    </xf>
    <xf numFmtId="166" fontId="23" fillId="3" borderId="27" xfId="1" applyNumberFormat="1" applyFont="1" applyFill="1" applyBorder="1" applyAlignment="1">
      <alignment horizontal="center"/>
    </xf>
    <xf numFmtId="0" fontId="75" fillId="3" borderId="25" xfId="0" applyFont="1" applyFill="1" applyBorder="1" applyAlignment="1">
      <alignment horizontal="center" wrapText="1"/>
    </xf>
    <xf numFmtId="0" fontId="75" fillId="3" borderId="26" xfId="0" applyFont="1" applyFill="1" applyBorder="1" applyAlignment="1">
      <alignment horizontal="center" wrapText="1"/>
    </xf>
    <xf numFmtId="0" fontId="75" fillId="3" borderId="27" xfId="0" applyFont="1" applyFill="1" applyBorder="1" applyAlignment="1">
      <alignment horizontal="center" wrapText="1"/>
    </xf>
    <xf numFmtId="0" fontId="83" fillId="3" borderId="25" xfId="0" applyFont="1" applyFill="1" applyBorder="1" applyAlignment="1">
      <alignment horizontal="center" vertical="center"/>
    </xf>
    <xf numFmtId="0" fontId="83" fillId="3" borderId="27" xfId="0" applyFont="1" applyFill="1" applyBorder="1" applyAlignment="1">
      <alignment horizontal="center" vertical="center"/>
    </xf>
    <xf numFmtId="0" fontId="83" fillId="3" borderId="26" xfId="0" applyFont="1" applyFill="1" applyBorder="1" applyAlignment="1">
      <alignment horizontal="center" vertical="center"/>
    </xf>
    <xf numFmtId="2" fontId="84" fillId="10" borderId="17" xfId="0" applyNumberFormat="1" applyFont="1" applyFill="1" applyBorder="1" applyAlignment="1">
      <alignment horizontal="center" vertical="center" wrapText="1"/>
    </xf>
    <xf numFmtId="2" fontId="84" fillId="10" borderId="19" xfId="0" applyNumberFormat="1" applyFont="1" applyFill="1" applyBorder="1" applyAlignment="1">
      <alignment horizontal="center" vertical="center" wrapText="1"/>
    </xf>
    <xf numFmtId="2" fontId="84" fillId="10" borderId="22" xfId="0" applyNumberFormat="1" applyFont="1" applyFill="1" applyBorder="1" applyAlignment="1">
      <alignment horizontal="center" vertical="center" wrapText="1"/>
    </xf>
    <xf numFmtId="2" fontId="84" fillId="10" borderId="24" xfId="0" applyNumberFormat="1" applyFont="1" applyFill="1" applyBorder="1" applyAlignment="1">
      <alignment horizontal="center" vertical="center" wrapText="1"/>
    </xf>
    <xf numFmtId="0" fontId="75" fillId="10" borderId="25" xfId="0" applyFont="1" applyFill="1" applyBorder="1" applyAlignment="1">
      <alignment horizontal="center" vertical="center"/>
    </xf>
    <xf numFmtId="0" fontId="75" fillId="10" borderId="26" xfId="0" applyFont="1" applyFill="1" applyBorder="1" applyAlignment="1">
      <alignment horizontal="center" vertical="center"/>
    </xf>
    <xf numFmtId="0" fontId="75" fillId="10" borderId="27"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9" xfId="0" applyFont="1" applyFill="1" applyBorder="1" applyAlignment="1">
      <alignment horizontal="center" vertical="center"/>
    </xf>
    <xf numFmtId="0" fontId="22" fillId="3" borderId="22" xfId="0" applyFont="1" applyFill="1" applyBorder="1" applyAlignment="1">
      <alignment horizontal="center" vertical="center"/>
    </xf>
    <xf numFmtId="0" fontId="22" fillId="3" borderId="24" xfId="0" applyFont="1" applyFill="1" applyBorder="1" applyAlignment="1">
      <alignment horizontal="center" vertical="center"/>
    </xf>
    <xf numFmtId="43" fontId="22" fillId="3" borderId="17" xfId="1" applyFont="1" applyFill="1" applyBorder="1" applyAlignment="1">
      <alignment horizontal="center" vertical="center"/>
    </xf>
    <xf numFmtId="43" fontId="22" fillId="3" borderId="22" xfId="1" applyFont="1" applyFill="1" applyBorder="1" applyAlignment="1">
      <alignment horizontal="center" vertical="center"/>
    </xf>
    <xf numFmtId="0" fontId="25" fillId="3" borderId="28" xfId="0" applyFont="1" applyFill="1" applyBorder="1" applyAlignment="1">
      <alignment horizontal="center" vertical="center" textRotation="180"/>
    </xf>
    <xf numFmtId="0" fontId="25" fillId="3" borderId="29" xfId="0" applyFont="1" applyFill="1" applyBorder="1" applyAlignment="1">
      <alignment horizontal="center" vertical="center" textRotation="180"/>
    </xf>
    <xf numFmtId="0" fontId="25" fillId="3" borderId="30" xfId="0" applyFont="1" applyFill="1" applyBorder="1" applyAlignment="1">
      <alignment horizontal="center" vertical="center" textRotation="180"/>
    </xf>
    <xf numFmtId="0" fontId="8" fillId="3" borderId="17"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4" xfId="0" applyFont="1" applyFill="1" applyBorder="1" applyAlignment="1">
      <alignment horizontal="center" vertical="center"/>
    </xf>
    <xf numFmtId="10" fontId="22" fillId="3" borderId="17" xfId="2" applyNumberFormat="1" applyFont="1" applyFill="1" applyBorder="1" applyAlignment="1">
      <alignment horizontal="center" vertical="center"/>
    </xf>
    <xf numFmtId="10" fontId="22" fillId="3" borderId="22" xfId="2" applyNumberFormat="1" applyFont="1" applyFill="1" applyBorder="1" applyAlignment="1">
      <alignment horizontal="center" vertical="center"/>
    </xf>
    <xf numFmtId="0" fontId="31" fillId="3" borderId="17" xfId="0" applyFont="1" applyFill="1" applyBorder="1" applyAlignment="1">
      <alignment horizontal="center" vertical="center"/>
    </xf>
    <xf numFmtId="0" fontId="31" fillId="3" borderId="19" xfId="0" applyFont="1" applyFill="1" applyBorder="1" applyAlignment="1">
      <alignment horizontal="center" vertical="center"/>
    </xf>
    <xf numFmtId="0" fontId="31" fillId="3" borderId="22" xfId="0" applyFont="1" applyFill="1" applyBorder="1" applyAlignment="1">
      <alignment horizontal="center" vertical="center"/>
    </xf>
    <xf numFmtId="0" fontId="31" fillId="3" borderId="24" xfId="0" applyFont="1" applyFill="1" applyBorder="1" applyAlignment="1">
      <alignment horizontal="center" vertical="center"/>
    </xf>
    <xf numFmtId="6" fontId="0" fillId="3" borderId="28" xfId="0" applyNumberFormat="1" applyFill="1" applyBorder="1" applyAlignment="1">
      <alignment horizontal="center" vertical="center"/>
    </xf>
    <xf numFmtId="6" fontId="0" fillId="3" borderId="30" xfId="0" applyNumberFormat="1" applyFill="1" applyBorder="1" applyAlignment="1">
      <alignment horizontal="center" vertical="center"/>
    </xf>
    <xf numFmtId="10" fontId="0" fillId="3" borderId="28" xfId="0" applyNumberFormat="1" applyFill="1" applyBorder="1" applyAlignment="1">
      <alignment horizontal="center" vertical="center"/>
    </xf>
    <xf numFmtId="10" fontId="0" fillId="3" borderId="30" xfId="0" applyNumberFormat="1" applyFill="1" applyBorder="1" applyAlignment="1">
      <alignment horizontal="center" vertical="center"/>
    </xf>
    <xf numFmtId="0" fontId="18" fillId="0" borderId="3" xfId="0" applyFont="1" applyBorder="1" applyAlignment="1">
      <alignment horizontal="left"/>
    </xf>
    <xf numFmtId="0" fontId="6" fillId="0" borderId="10" xfId="0" applyFont="1" applyBorder="1" applyAlignment="1">
      <alignment wrapText="1"/>
    </xf>
    <xf numFmtId="0" fontId="6" fillId="0" borderId="4" xfId="0" applyFont="1" applyBorder="1" applyAlignment="1">
      <alignment wrapText="1"/>
    </xf>
    <xf numFmtId="0" fontId="19" fillId="0" borderId="10" xfId="0" applyFont="1" applyBorder="1" applyAlignment="1">
      <alignment horizontal="right"/>
    </xf>
    <xf numFmtId="0" fontId="16" fillId="0" borderId="3" xfId="0" applyFont="1" applyBorder="1" applyAlignment="1">
      <alignment horizontal="center"/>
    </xf>
    <xf numFmtId="0" fontId="16" fillId="0" borderId="10" xfId="0" applyFont="1" applyBorder="1" applyAlignment="1">
      <alignment horizontal="center"/>
    </xf>
    <xf numFmtId="0" fontId="16" fillId="0" borderId="4" xfId="0" applyFont="1" applyBorder="1" applyAlignment="1">
      <alignment horizontal="center"/>
    </xf>
    <xf numFmtId="0" fontId="16" fillId="0" borderId="14" xfId="0" applyFont="1" applyBorder="1" applyAlignment="1">
      <alignment horizontal="left"/>
    </xf>
    <xf numFmtId="0" fontId="6" fillId="0" borderId="11" xfId="0" applyFont="1" applyBorder="1" applyAlignment="1">
      <alignment wrapText="1"/>
    </xf>
    <xf numFmtId="0" fontId="24" fillId="3" borderId="28" xfId="0" applyFont="1" applyFill="1" applyBorder="1" applyAlignment="1">
      <alignment horizontal="center" vertical="center"/>
    </xf>
    <xf numFmtId="0" fontId="24" fillId="3" borderId="30" xfId="0" applyFont="1" applyFill="1" applyBorder="1" applyAlignment="1">
      <alignment horizontal="center" vertical="center"/>
    </xf>
    <xf numFmtId="10" fontId="25" fillId="3" borderId="17" xfId="2" applyNumberFormat="1" applyFont="1" applyFill="1" applyBorder="1" applyAlignment="1">
      <alignment horizontal="center" vertical="center"/>
    </xf>
    <xf numFmtId="10" fontId="25" fillId="3" borderId="19" xfId="2" applyNumberFormat="1" applyFont="1" applyFill="1" applyBorder="1" applyAlignment="1">
      <alignment horizontal="center" vertical="center"/>
    </xf>
    <xf numFmtId="10" fontId="25" fillId="3" borderId="22" xfId="2" applyNumberFormat="1" applyFont="1" applyFill="1" applyBorder="1" applyAlignment="1">
      <alignment horizontal="center" vertical="center"/>
    </xf>
    <xf numFmtId="10" fontId="25" fillId="3" borderId="24" xfId="2" applyNumberFormat="1" applyFont="1" applyFill="1" applyBorder="1" applyAlignment="1">
      <alignment horizontal="center" vertical="center"/>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26" fillId="3" borderId="17" xfId="0" applyNumberFormat="1" applyFont="1" applyFill="1" applyBorder="1" applyAlignment="1">
      <alignment horizontal="center" vertical="center"/>
    </xf>
    <xf numFmtId="0" fontId="23" fillId="45" borderId="17" xfId="0" applyFont="1" applyFill="1" applyBorder="1" applyAlignment="1">
      <alignment horizontal="center" vertical="center"/>
    </xf>
    <xf numFmtId="0" fontId="23" fillId="45" borderId="19" xfId="0" applyFont="1" applyFill="1" applyBorder="1" applyAlignment="1">
      <alignment horizontal="center" vertical="center"/>
    </xf>
    <xf numFmtId="0" fontId="23" fillId="45" borderId="22" xfId="0" applyFont="1" applyFill="1" applyBorder="1" applyAlignment="1">
      <alignment horizontal="center" vertical="center"/>
    </xf>
    <xf numFmtId="0" fontId="23" fillId="45" borderId="24" xfId="0" applyFont="1" applyFill="1" applyBorder="1" applyAlignment="1">
      <alignment horizontal="center" vertical="center"/>
    </xf>
    <xf numFmtId="0" fontId="26" fillId="11" borderId="17" xfId="0" applyFont="1" applyFill="1" applyBorder="1" applyAlignment="1">
      <alignment horizontal="center" vertical="center"/>
    </xf>
    <xf numFmtId="0" fontId="26" fillId="11" borderId="19" xfId="0" applyFont="1" applyFill="1" applyBorder="1" applyAlignment="1">
      <alignment horizontal="center" vertical="center"/>
    </xf>
    <xf numFmtId="0" fontId="26" fillId="11" borderId="22" xfId="0" applyFont="1" applyFill="1" applyBorder="1" applyAlignment="1">
      <alignment horizontal="center" vertical="center"/>
    </xf>
    <xf numFmtId="0" fontId="26" fillId="11" borderId="24" xfId="0" applyFont="1" applyFill="1" applyBorder="1" applyAlignment="1">
      <alignment horizontal="center" vertical="center"/>
    </xf>
    <xf numFmtId="0" fontId="22" fillId="3" borderId="17" xfId="0" applyFont="1" applyFill="1" applyBorder="1" applyAlignment="1">
      <alignment horizontal="center" wrapText="1"/>
    </xf>
    <xf numFmtId="0" fontId="22" fillId="3" borderId="18" xfId="0" applyFont="1" applyFill="1" applyBorder="1" applyAlignment="1">
      <alignment horizontal="center" wrapText="1"/>
    </xf>
    <xf numFmtId="0" fontId="22" fillId="3" borderId="19" xfId="0" applyFont="1" applyFill="1" applyBorder="1" applyAlignment="1">
      <alignment horizontal="center" wrapText="1"/>
    </xf>
    <xf numFmtId="0" fontId="22" fillId="3" borderId="20" xfId="0" applyFont="1" applyFill="1" applyBorder="1" applyAlignment="1">
      <alignment horizontal="center" wrapText="1"/>
    </xf>
    <xf numFmtId="0" fontId="22" fillId="3" borderId="0" xfId="0" applyFont="1" applyFill="1" applyAlignment="1">
      <alignment horizontal="center" wrapText="1"/>
    </xf>
    <xf numFmtId="0" fontId="22" fillId="3" borderId="21" xfId="0" applyFont="1" applyFill="1" applyBorder="1" applyAlignment="1">
      <alignment horizontal="center" wrapText="1"/>
    </xf>
    <xf numFmtId="0" fontId="22" fillId="3" borderId="22" xfId="0" applyFont="1" applyFill="1" applyBorder="1" applyAlignment="1">
      <alignment horizontal="center" wrapText="1"/>
    </xf>
    <xf numFmtId="0" fontId="22" fillId="3" borderId="23" xfId="0" applyFont="1" applyFill="1" applyBorder="1" applyAlignment="1">
      <alignment horizontal="center" wrapText="1"/>
    </xf>
    <xf numFmtId="0" fontId="22" fillId="3" borderId="24" xfId="0" applyFont="1" applyFill="1" applyBorder="1" applyAlignment="1">
      <alignment horizontal="center" wrapText="1"/>
    </xf>
    <xf numFmtId="0" fontId="26" fillId="45" borderId="17" xfId="0" applyFont="1" applyFill="1" applyBorder="1" applyAlignment="1">
      <alignment horizontal="center" vertical="center"/>
    </xf>
    <xf numFmtId="0" fontId="26" fillId="45" borderId="19" xfId="0" applyFont="1" applyFill="1" applyBorder="1" applyAlignment="1">
      <alignment horizontal="center" vertical="center"/>
    </xf>
    <xf numFmtId="0" fontId="26" fillId="45" borderId="22" xfId="0" applyFont="1" applyFill="1" applyBorder="1" applyAlignment="1">
      <alignment horizontal="center" vertical="center"/>
    </xf>
    <xf numFmtId="0" fontId="26" fillId="45" borderId="24" xfId="0" applyFont="1" applyFill="1" applyBorder="1" applyAlignment="1">
      <alignment horizontal="center" vertical="center"/>
    </xf>
    <xf numFmtId="0" fontId="66" fillId="3" borderId="25" xfId="0" applyFont="1" applyFill="1" applyBorder="1" applyAlignment="1">
      <alignment horizontal="center"/>
    </xf>
    <xf numFmtId="0" fontId="66" fillId="3" borderId="26" xfId="0" applyFont="1" applyFill="1" applyBorder="1" applyAlignment="1">
      <alignment horizontal="center"/>
    </xf>
    <xf numFmtId="0" fontId="66" fillId="3" borderId="27" xfId="0" applyFont="1" applyFill="1" applyBorder="1" applyAlignment="1">
      <alignment horizontal="center"/>
    </xf>
    <xf numFmtId="0" fontId="44" fillId="0" borderId="25" xfId="8" applyFont="1" applyBorder="1" applyAlignment="1">
      <alignment horizontal="center"/>
    </xf>
    <xf numFmtId="0" fontId="44" fillId="0" borderId="26" xfId="8" applyFont="1" applyBorder="1" applyAlignment="1">
      <alignment horizontal="center"/>
    </xf>
    <xf numFmtId="0" fontId="44" fillId="0" borderId="27" xfId="8" applyFont="1" applyBorder="1" applyAlignment="1">
      <alignment horizontal="center"/>
    </xf>
    <xf numFmtId="0" fontId="47" fillId="0" borderId="42" xfId="8" applyFont="1" applyBorder="1" applyAlignment="1">
      <alignment horizontal="center"/>
    </xf>
    <xf numFmtId="0" fontId="35" fillId="0" borderId="43" xfId="8" applyBorder="1" applyAlignment="1">
      <alignment horizontal="center"/>
    </xf>
    <xf numFmtId="0" fontId="47" fillId="0" borderId="43" xfId="8" applyFont="1" applyBorder="1" applyAlignment="1">
      <alignment horizontal="center"/>
    </xf>
    <xf numFmtId="0" fontId="47" fillId="0" borderId="44" xfId="8" applyFont="1" applyBorder="1" applyAlignment="1">
      <alignment horizontal="center"/>
    </xf>
    <xf numFmtId="0" fontId="44" fillId="0" borderId="20" xfId="8" applyFont="1" applyBorder="1" applyAlignment="1">
      <alignment horizontal="center"/>
    </xf>
    <xf numFmtId="0" fontId="44" fillId="0" borderId="0" xfId="8" applyFont="1" applyAlignment="1">
      <alignment horizontal="center"/>
    </xf>
    <xf numFmtId="15" fontId="37" fillId="19" borderId="32" xfId="8" applyNumberFormat="1" applyFont="1" applyFill="1" applyBorder="1" applyAlignment="1">
      <alignment horizontal="left"/>
    </xf>
    <xf numFmtId="15" fontId="37" fillId="19" borderId="33" xfId="8" applyNumberFormat="1" applyFont="1" applyFill="1" applyBorder="1" applyAlignment="1">
      <alignment horizontal="left"/>
    </xf>
    <xf numFmtId="15" fontId="37" fillId="19" borderId="34" xfId="8" applyNumberFormat="1" applyFont="1" applyFill="1" applyBorder="1" applyAlignment="1">
      <alignment horizontal="left"/>
    </xf>
    <xf numFmtId="0" fontId="39" fillId="19" borderId="3" xfId="9" applyFill="1" applyBorder="1" applyAlignment="1" applyProtection="1">
      <alignment horizontal="left"/>
    </xf>
    <xf numFmtId="0" fontId="39" fillId="19" borderId="10" xfId="9" applyFill="1" applyBorder="1" applyAlignment="1" applyProtection="1">
      <alignment horizontal="left"/>
    </xf>
    <xf numFmtId="0" fontId="39" fillId="19" borderId="36" xfId="9" applyFill="1" applyBorder="1" applyAlignment="1" applyProtection="1">
      <alignment horizontal="left"/>
    </xf>
    <xf numFmtId="0" fontId="40" fillId="19" borderId="3" xfId="8" applyFont="1" applyFill="1" applyBorder="1" applyAlignment="1">
      <alignment horizontal="left"/>
    </xf>
    <xf numFmtId="0" fontId="40" fillId="19" borderId="10" xfId="8" applyFont="1" applyFill="1" applyBorder="1" applyAlignment="1">
      <alignment horizontal="left"/>
    </xf>
    <xf numFmtId="0" fontId="40" fillId="19" borderId="4" xfId="8" applyFont="1" applyFill="1" applyBorder="1" applyAlignment="1">
      <alignment horizontal="left"/>
    </xf>
    <xf numFmtId="0" fontId="40" fillId="19" borderId="36" xfId="8" applyFont="1" applyFill="1" applyBorder="1" applyAlignment="1">
      <alignment horizontal="left"/>
    </xf>
    <xf numFmtId="15" fontId="39" fillId="19" borderId="3" xfId="9" applyNumberFormat="1" applyFill="1" applyBorder="1" applyAlignment="1" applyProtection="1">
      <alignment horizontal="left"/>
    </xf>
    <xf numFmtId="15" fontId="39" fillId="19" borderId="10" xfId="9" applyNumberFormat="1" applyFill="1" applyBorder="1" applyAlignment="1" applyProtection="1">
      <alignment horizontal="left"/>
    </xf>
    <xf numFmtId="15" fontId="39" fillId="19" borderId="36" xfId="9" applyNumberFormat="1" applyFill="1" applyBorder="1" applyAlignment="1" applyProtection="1">
      <alignment horizontal="left"/>
    </xf>
    <xf numFmtId="0" fontId="39" fillId="19" borderId="3" xfId="9" applyFill="1" applyBorder="1" applyAlignment="1" applyProtection="1"/>
    <xf numFmtId="0" fontId="39" fillId="19" borderId="10" xfId="9" applyFill="1" applyBorder="1" applyAlignment="1" applyProtection="1"/>
    <xf numFmtId="0" fontId="39" fillId="19" borderId="36" xfId="9" applyFill="1" applyBorder="1" applyAlignment="1" applyProtection="1"/>
    <xf numFmtId="0" fontId="39" fillId="19" borderId="38" xfId="9" applyFill="1" applyBorder="1" applyAlignment="1" applyProtection="1">
      <alignment horizontal="left"/>
    </xf>
    <xf numFmtId="0" fontId="39" fillId="19" borderId="39" xfId="9" applyFill="1" applyBorder="1" applyAlignment="1" applyProtection="1">
      <alignment horizontal="left"/>
    </xf>
    <xf numFmtId="0" fontId="39" fillId="19" borderId="40" xfId="9" applyFill="1" applyBorder="1" applyAlignment="1" applyProtection="1">
      <alignment horizontal="left"/>
    </xf>
    <xf numFmtId="0" fontId="4" fillId="3" borderId="1" xfId="0" applyFont="1" applyFill="1" applyBorder="1" applyAlignment="1">
      <alignment horizontal="center"/>
    </xf>
    <xf numFmtId="0" fontId="60" fillId="0" borderId="0" xfId="0" applyFont="1" applyAlignment="1">
      <alignment horizontal="left" wrapText="1"/>
    </xf>
    <xf numFmtId="0" fontId="55" fillId="0" borderId="10" xfId="0" applyFont="1" applyBorder="1" applyAlignment="1">
      <alignment horizontal="center" vertical="center"/>
    </xf>
    <xf numFmtId="0" fontId="55" fillId="0" borderId="4" xfId="0" applyFont="1" applyBorder="1" applyAlignment="1">
      <alignment horizontal="center" vertical="center"/>
    </xf>
    <xf numFmtId="0" fontId="54" fillId="0" borderId="0" xfId="0" applyFont="1" applyAlignment="1">
      <alignment horizontal="left" wrapText="1"/>
    </xf>
    <xf numFmtId="0" fontId="60" fillId="0" borderId="0" xfId="0" applyFont="1" applyAlignment="1">
      <alignment wrapText="1"/>
    </xf>
    <xf numFmtId="0" fontId="60" fillId="21" borderId="0" xfId="0" applyFont="1" applyFill="1" applyAlignment="1">
      <alignment wrapText="1"/>
    </xf>
    <xf numFmtId="0" fontId="44" fillId="0" borderId="52" xfId="8" applyFont="1" applyBorder="1" applyAlignment="1">
      <alignment horizontal="center"/>
    </xf>
    <xf numFmtId="0" fontId="78" fillId="7" borderId="50" xfId="8" applyFont="1" applyFill="1" applyBorder="1" applyAlignment="1">
      <alignment horizontal="center"/>
    </xf>
    <xf numFmtId="0" fontId="44" fillId="0" borderId="51" xfId="8" applyFont="1" applyBorder="1" applyAlignment="1">
      <alignment horizontal="center"/>
    </xf>
    <xf numFmtId="0" fontId="44" fillId="0" borderId="53" xfId="8" applyFont="1" applyBorder="1" applyAlignment="1">
      <alignment horizontal="center"/>
    </xf>
    <xf numFmtId="0" fontId="44" fillId="0" borderId="54" xfId="8" applyFont="1" applyBorder="1" applyAlignment="1">
      <alignment horizontal="center"/>
    </xf>
    <xf numFmtId="0" fontId="44" fillId="0" borderId="55" xfId="8" applyFont="1" applyBorder="1" applyAlignment="1">
      <alignment horizontal="center"/>
    </xf>
  </cellXfs>
  <cellStyles count="15">
    <cellStyle name="Hipervínculo" xfId="6" builtinId="8"/>
    <cellStyle name="Hipervínculo 2" xfId="9" xr:uid="{CEE13E5F-DC05-4C75-BF24-87A1D7E29745}"/>
    <cellStyle name="Hipervínculo 3" xfId="12" xr:uid="{1EF1DDB2-3BEB-4109-9841-264234E1FEC9}"/>
    <cellStyle name="Hipervínculo 3 2" xfId="13" xr:uid="{722503BD-34DF-4515-B3B9-A932BEEE970F}"/>
    <cellStyle name="Millares" xfId="1" builtinId="3"/>
    <cellStyle name="Millares 2" xfId="4" xr:uid="{270F2748-20F5-4477-9516-8F9523B6CE46}"/>
    <cellStyle name="Millares 3" xfId="5" xr:uid="{855910F6-76EE-420C-BF67-E4E019D36EF2}"/>
    <cellStyle name="Moneda 2" xfId="10" xr:uid="{B3B3958B-B016-4946-B11A-772E99E32DEB}"/>
    <cellStyle name="Normal" xfId="0" builtinId="0"/>
    <cellStyle name="Normal 2" xfId="8" xr:uid="{B2005B8A-4FF2-4E44-9CAC-2C66C2809997}"/>
    <cellStyle name="Normal 3" xfId="3" xr:uid="{FB727A54-9458-481B-A208-6B3666EEBA6D}"/>
    <cellStyle name="Porcentaje" xfId="2" builtinId="5"/>
    <cellStyle name="Porcentaje 2" xfId="7" xr:uid="{91448D3C-178D-4632-A738-6D1AC5C14205}"/>
    <cellStyle name="Porcentaje 2 2" xfId="11" xr:uid="{CC00BE11-FBE3-4958-AC21-C8BD4E357DAB}"/>
    <cellStyle name="Porcentaje 3" xfId="14" xr:uid="{962A686E-BA48-4BA7-8F1C-3171C59CA6E3}"/>
  </cellStyles>
  <dxfs count="187">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8" formatCode="_(&quot;$&quot;* #,##0.00_);_(&quot;$&quot;* \(#,##0.00\);_(&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8" formatCode="_(&quot;$&quot;* #,##0.00_);_(&quot;$&quot;* \(#,##0.00\);_(&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0"/>
        <name val="Calibri"/>
        <family val="2"/>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0"/>
        <name val="Calibri"/>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0"/>
        <name val="Calibri"/>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0"/>
        <name val="Calibri"/>
        <scheme val="minor"/>
      </font>
      <numFmt numFmtId="14" formatCode="0.00%"/>
      <fill>
        <patternFill patternType="solid">
          <fgColor indexed="64"/>
          <bgColor theme="1"/>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family val="1"/>
        <scheme val="none"/>
      </font>
      <numFmt numFmtId="14" formatCode="0.00%"/>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8" formatCode="_(&quot;$&quot;* #,##0.00_);_(&quot;$&quot;* \(#,##0.00\);_(&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8" formatCode="_(&quot;$&quot;* #,##0.00_);_(&quot;$&quot;* \(#,##0.00\);_(&quot;$&quot;* &quot;-&quot;??_);_(@_)"/>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2"/>
        <color auto="1"/>
        <name val="Calibri"/>
        <scheme val="minor"/>
      </font>
      <alignment horizontal="center" vertical="bottom" textRotation="0" wrapText="1" indent="0" justifyLastLine="0" shrinkToFit="0" readingOrder="0"/>
      <border diagonalUp="0" diagonalDown="0" outline="0">
        <left style="thin">
          <color indexed="64"/>
        </left>
        <right style="thin">
          <color indexed="64"/>
        </right>
        <top/>
        <bottom/>
      </border>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alignment horizontal="left" vertical="bottom" textRotation="0" wrapText="0" indent="1" justifyLastLine="0" shrinkToFit="0" readingOrder="0"/>
    </dxf>
    <dxf>
      <alignment horizontal="left" vertical="bottom" textRotation="0" wrapText="0" indent="1"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FFCCCC"/>
      <color rgb="FFEFE7FD"/>
      <color rgb="FFA2EAE8"/>
      <color rgb="FF006699"/>
      <color rgb="FF33CCCC"/>
      <color rgb="FF00FFFF"/>
      <color rgb="FF66FFFF"/>
      <color rgb="FFCCFFFF"/>
      <color rgb="FFFFFF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'AOM Y OPEX'!$D$17</c:f>
              <c:strCache>
                <c:ptCount val="1"/>
                <c:pt idx="0">
                  <c:v>ADMINISTRACIÓN, OPERACIÓN Y MANTENI</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'AOM Y OPEX'!$E$17:$N$17</c:f>
              <c:numCache>
                <c:formatCode>_-* #,##0_-;\-* #,##0_-;_-* "-"??_-;_-@_-</c:formatCode>
                <c:ptCount val="10"/>
                <c:pt idx="0">
                  <c:v>111435992</c:v>
                </c:pt>
                <c:pt idx="1">
                  <c:v>120350871.36000001</c:v>
                </c:pt>
                <c:pt idx="2">
                  <c:v>129978941.06880002</c:v>
                </c:pt>
                <c:pt idx="3">
                  <c:v>140377256.35430402</c:v>
                </c:pt>
                <c:pt idx="4">
                  <c:v>151607436.86264834</c:v>
                </c:pt>
                <c:pt idx="5">
                  <c:v>163736031.81166023</c:v>
                </c:pt>
                <c:pt idx="6">
                  <c:v>176834914.35659307</c:v>
                </c:pt>
                <c:pt idx="7">
                  <c:v>190981707.50512055</c:v>
                </c:pt>
                <c:pt idx="8">
                  <c:v>206260244.1055302</c:v>
                </c:pt>
                <c:pt idx="9">
                  <c:v>222761063.63397264</c:v>
                </c:pt>
              </c:numCache>
            </c:numRef>
          </c:val>
          <c:extLst>
            <c:ext xmlns:c16="http://schemas.microsoft.com/office/drawing/2014/chart" uri="{C3380CC4-5D6E-409C-BE32-E72D297353CC}">
              <c16:uniqueId val="{00000000-320C-4971-8201-F875DE520F37}"/>
            </c:ext>
          </c:extLst>
        </c:ser>
        <c:ser>
          <c:idx val="1"/>
          <c:order val="1"/>
          <c:tx>
            <c:strRef>
              <c:f>'AOM Y OPEX'!$D$18</c:f>
              <c:strCache>
                <c:ptCount val="1"/>
                <c:pt idx="0">
                  <c:v>GASTOS FUNCIONALES DE LA OPERACIÓN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'AOM Y OPEX'!$E$18:$N$18</c:f>
              <c:numCache>
                <c:formatCode>_-* #,##0_-;\-* #,##0_-;_-* "-"??_-;_-@_-</c:formatCode>
                <c:ptCount val="10"/>
                <c:pt idx="0">
                  <c:v>6240000</c:v>
                </c:pt>
                <c:pt idx="1">
                  <c:v>6608160</c:v>
                </c:pt>
                <c:pt idx="2">
                  <c:v>6998041.4399999995</c:v>
                </c:pt>
                <c:pt idx="3">
                  <c:v>7410925.8849599995</c:v>
                </c:pt>
                <c:pt idx="4">
                  <c:v>7848170.5121726394</c:v>
                </c:pt>
                <c:pt idx="5">
                  <c:v>8311212.5723908246</c:v>
                </c:pt>
                <c:pt idx="6">
                  <c:v>8801574.1141618825</c:v>
                </c:pt>
                <c:pt idx="7">
                  <c:v>9320866.9868974332</c:v>
                </c:pt>
                <c:pt idx="8">
                  <c:v>9870798.1391243804</c:v>
                </c:pt>
                <c:pt idx="9">
                  <c:v>10453175.229332719</c:v>
                </c:pt>
              </c:numCache>
            </c:numRef>
          </c:val>
          <c:extLst>
            <c:ext xmlns:c16="http://schemas.microsoft.com/office/drawing/2014/chart" uri="{C3380CC4-5D6E-409C-BE32-E72D297353CC}">
              <c16:uniqueId val="{00000001-320C-4971-8201-F875DE520F37}"/>
            </c:ext>
          </c:extLst>
        </c:ser>
        <c:dLbls>
          <c:showLegendKey val="0"/>
          <c:showVal val="0"/>
          <c:showCatName val="0"/>
          <c:showSerName val="0"/>
          <c:showPercent val="0"/>
          <c:showBubbleSize val="0"/>
        </c:dLbls>
        <c:gapWidth val="115"/>
        <c:overlap val="-20"/>
        <c:axId val="627841775"/>
        <c:axId val="627380191"/>
      </c:barChart>
      <c:catAx>
        <c:axId val="627841775"/>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27380191"/>
        <c:crosses val="autoZero"/>
        <c:auto val="1"/>
        <c:lblAlgn val="ctr"/>
        <c:lblOffset val="100"/>
        <c:noMultiLvlLbl val="0"/>
      </c:catAx>
      <c:valAx>
        <c:axId val="627380191"/>
        <c:scaling>
          <c:orientation val="minMax"/>
        </c:scaling>
        <c:delete val="0"/>
        <c:axPos val="b"/>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27841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'PUNTO DE EQUILIBRIO'!$A$12:$A$13</c:f>
              <c:strCache>
                <c:ptCount val="2"/>
                <c:pt idx="0">
                  <c:v>Ingresos Totales</c:v>
                </c:pt>
                <c:pt idx="1">
                  <c:v>Costos totales</c:v>
                </c:pt>
              </c:strCache>
            </c:strRef>
          </c:cat>
          <c:val>
            <c:numRef>
              <c:f>'PUNTO DE EQUILIBRIO'!$B$12:$B$13</c:f>
              <c:numCache>
                <c:formatCode>_-* #,##0_-;\-* #,##0_-;_-* "-"??_-;_-@_-</c:formatCode>
                <c:ptCount val="2"/>
                <c:pt idx="0">
                  <c:v>352422092.14777768</c:v>
                </c:pt>
                <c:pt idx="1">
                  <c:v>111435992</c:v>
                </c:pt>
              </c:numCache>
            </c:numRef>
          </c:val>
          <c:extLst>
            <c:ext xmlns:c16="http://schemas.microsoft.com/office/drawing/2014/chart" uri="{C3380CC4-5D6E-409C-BE32-E72D297353CC}">
              <c16:uniqueId val="{00000000-FF52-4138-9A7B-031EE2E14B63}"/>
            </c:ext>
          </c:extLst>
        </c:ser>
        <c:dLbls>
          <c:showLegendKey val="0"/>
          <c:showVal val="0"/>
          <c:showCatName val="0"/>
          <c:showSerName val="0"/>
          <c:showPercent val="0"/>
          <c:showBubbleSize val="0"/>
        </c:dLbls>
        <c:gapWidth val="115"/>
        <c:overlap val="-20"/>
        <c:axId val="1154577007"/>
        <c:axId val="1373670719"/>
      </c:barChart>
      <c:catAx>
        <c:axId val="1154577007"/>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373670719"/>
        <c:crosses val="autoZero"/>
        <c:auto val="1"/>
        <c:lblAlgn val="ctr"/>
        <c:lblOffset val="100"/>
        <c:noMultiLvlLbl val="0"/>
      </c:catAx>
      <c:valAx>
        <c:axId val="1373670719"/>
        <c:scaling>
          <c:orientation val="minMax"/>
        </c:scaling>
        <c:delete val="0"/>
        <c:axPos val="b"/>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154577007"/>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PROYECTO'!$D$13</c:f>
              <c:numCache>
                <c:formatCode>_-* #,##0_-;\-* #,##0_-;_-* "-"??_-;_-@_-</c:formatCode>
                <c:ptCount val="1"/>
                <c:pt idx="0">
                  <c:v>204000875.11825076</c:v>
                </c:pt>
              </c:numCache>
            </c:numRef>
          </c:val>
          <c:extLst>
            <c:ext xmlns:c16="http://schemas.microsoft.com/office/drawing/2014/chart" uri="{C3380CC4-5D6E-409C-BE32-E72D297353CC}">
              <c16:uniqueId val="{00000000-6C57-46BE-9532-976DEBD9DF84}"/>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PROYECTO'!$E$13</c:f>
              <c:numCache>
                <c:formatCode>_-* #,##0_-;\-* #,##0_-;_-* "-"??_-;_-@_-</c:formatCode>
                <c:ptCount val="1"/>
                <c:pt idx="0">
                  <c:v>215510739.19496956</c:v>
                </c:pt>
              </c:numCache>
            </c:numRef>
          </c:val>
          <c:extLst>
            <c:ext xmlns:c16="http://schemas.microsoft.com/office/drawing/2014/chart" uri="{C3380CC4-5D6E-409C-BE32-E72D297353CC}">
              <c16:uniqueId val="{00000001-6C57-46BE-9532-976DEBD9DF84}"/>
            </c:ext>
          </c:extLst>
        </c:ser>
        <c:ser>
          <c:idx val="2"/>
          <c:order val="2"/>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PROYECTO'!$F$13</c:f>
              <c:numCache>
                <c:formatCode>_-* #,##0_-;\-* #,##0_-;_-* "-"??_-;_-@_-</c:formatCode>
                <c:ptCount val="1"/>
                <c:pt idx="0">
                  <c:v>227512472.78565481</c:v>
                </c:pt>
              </c:numCache>
            </c:numRef>
          </c:val>
          <c:extLst>
            <c:ext xmlns:c16="http://schemas.microsoft.com/office/drawing/2014/chart" uri="{C3380CC4-5D6E-409C-BE32-E72D297353CC}">
              <c16:uniqueId val="{00000002-6C57-46BE-9532-976DEBD9DF84}"/>
            </c:ext>
          </c:extLst>
        </c:ser>
        <c: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PROYECTO'!$G$13</c:f>
              <c:numCache>
                <c:formatCode>_-* #,##0_-;\-* #,##0_-;_-* "-"??_-;_-@_-</c:formatCode>
                <c:ptCount val="1"/>
                <c:pt idx="0">
                  <c:v>240020119.19430581</c:v>
                </c:pt>
              </c:numCache>
            </c:numRef>
          </c:val>
          <c:extLst>
            <c:ext xmlns:c16="http://schemas.microsoft.com/office/drawing/2014/chart" uri="{C3380CC4-5D6E-409C-BE32-E72D297353CC}">
              <c16:uniqueId val="{00000003-6C57-46BE-9532-976DEBD9DF84}"/>
            </c:ext>
          </c:extLst>
        </c:ser>
        <c:ser>
          <c:idx val="4"/>
          <c:order val="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PROYECTO'!$H$13</c:f>
              <c:numCache>
                <c:formatCode>_-* #,##0_-;\-* #,##0_-;_-* "-"??_-;_-@_-</c:formatCode>
                <c:ptCount val="1"/>
                <c:pt idx="0">
                  <c:v>253047352.12007153</c:v>
                </c:pt>
              </c:numCache>
            </c:numRef>
          </c:val>
          <c:extLst>
            <c:ext xmlns:c16="http://schemas.microsoft.com/office/drawing/2014/chart" uri="{C3380CC4-5D6E-409C-BE32-E72D297353CC}">
              <c16:uniqueId val="{00000004-6C57-46BE-9532-976DEBD9DF84}"/>
            </c:ext>
          </c:extLst>
        </c:ser>
        <c:ser>
          <c:idx val="5"/>
          <c:order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PROYECTO'!$I$13</c:f>
              <c:numCache>
                <c:formatCode>_-* #,##0_-;\-* #,##0_-;_-* "-"??_-;_-@_-</c:formatCode>
                <c:ptCount val="1"/>
                <c:pt idx="0">
                  <c:v>266607357.99778205</c:v>
                </c:pt>
              </c:numCache>
            </c:numRef>
          </c:val>
          <c:extLst>
            <c:ext xmlns:c16="http://schemas.microsoft.com/office/drawing/2014/chart" uri="{C3380CC4-5D6E-409C-BE32-E72D297353CC}">
              <c16:uniqueId val="{00000005-6C57-46BE-9532-976DEBD9DF84}"/>
            </c:ext>
          </c:extLst>
        </c:ser>
        <c:ser>
          <c:idx val="6"/>
          <c:order val="6"/>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PROYECTO'!$J$13</c:f>
              <c:numCache>
                <c:formatCode>_-* #,##0_-;\-* #,##0_-;_-* "-"??_-;_-@_-</c:formatCode>
                <c:ptCount val="1"/>
                <c:pt idx="0">
                  <c:v>280712703.72834837</c:v>
                </c:pt>
              </c:numCache>
            </c:numRef>
          </c:val>
          <c:extLst>
            <c:ext xmlns:c16="http://schemas.microsoft.com/office/drawing/2014/chart" uri="{C3380CC4-5D6E-409C-BE32-E72D297353CC}">
              <c16:uniqueId val="{00000006-6C57-46BE-9532-976DEBD9DF84}"/>
            </c:ext>
          </c:extLst>
        </c:ser>
        <c:ser>
          <c:idx val="7"/>
          <c:order val="7"/>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PROYECTO'!$K$13</c:f>
              <c:numCache>
                <c:formatCode>_-* #,##0_-;\-* #,##0_-;_-* "-"??_-;_-@_-</c:formatCode>
                <c:ptCount val="1"/>
                <c:pt idx="0">
                  <c:v>295375188.32357454</c:v>
                </c:pt>
              </c:numCache>
            </c:numRef>
          </c:val>
          <c:extLst>
            <c:ext xmlns:c16="http://schemas.microsoft.com/office/drawing/2014/chart" uri="{C3380CC4-5D6E-409C-BE32-E72D297353CC}">
              <c16:uniqueId val="{00000007-6C57-46BE-9532-976DEBD9DF84}"/>
            </c:ext>
          </c:extLst>
        </c:ser>
        <c:ser>
          <c:idx val="8"/>
          <c:order val="8"/>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PROYECTO'!$L$13</c:f>
              <c:numCache>
                <c:formatCode>_-* #,##0_-;\-* #,##0_-;_-* "-"??_-;_-@_-</c:formatCode>
                <c:ptCount val="1"/>
                <c:pt idx="0">
                  <c:v>310605676.85380006</c:v>
                </c:pt>
              </c:numCache>
            </c:numRef>
          </c:val>
          <c:extLst>
            <c:ext xmlns:c16="http://schemas.microsoft.com/office/drawing/2014/chart" uri="{C3380CC4-5D6E-409C-BE32-E72D297353CC}">
              <c16:uniqueId val="{00000008-6C57-46BE-9532-976DEBD9DF84}"/>
            </c:ext>
          </c:extLst>
        </c:ser>
        <c:ser>
          <c:idx val="9"/>
          <c:order val="9"/>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'INDICADORES DEL PROYECTO'!$B$3:$M$4</c:f>
              <c:multiLvlStrCache>
                <c:ptCount val="2"/>
                <c:lvl>
                  <c:pt idx="1">
                    <c:v>AÑO 10</c:v>
                  </c:pt>
                </c:lvl>
                <c:lvl>
                  <c:pt idx="1">
                    <c:v>AÑO 9</c:v>
                  </c:pt>
                </c:lvl>
                <c:lvl>
                  <c:pt idx="1">
                    <c:v>AÑO 8</c:v>
                  </c:pt>
                </c:lvl>
                <c:lvl>
                  <c:pt idx="1">
                    <c:v>AÑO 7</c:v>
                  </c:pt>
                </c:lvl>
                <c:lvl>
                  <c:pt idx="1">
                    <c:v>AÑO 6</c:v>
                  </c:pt>
                </c:lvl>
                <c:lvl>
                  <c:pt idx="1">
                    <c:v>AÑO 5</c:v>
                  </c:pt>
                </c:lvl>
                <c:lvl>
                  <c:pt idx="1">
                    <c:v>AÑO 4</c:v>
                  </c:pt>
                </c:lvl>
                <c:lvl>
                  <c:pt idx="1">
                    <c:v>AÑO 3</c:v>
                  </c:pt>
                </c:lvl>
                <c:lvl>
                  <c:pt idx="1">
                    <c:v>AÑO 2</c:v>
                  </c:pt>
                </c:lvl>
                <c:lvl>
                  <c:pt idx="1">
                    <c:v>AÑO 1</c:v>
                  </c:pt>
                </c:lvl>
                <c:lvl>
                  <c:pt idx="1">
                    <c:v>AÑO 0</c:v>
                  </c:pt>
                </c:lvl>
                <c:lvl>
                  <c:pt idx="1">
                    <c:v>FLUJO DE CAJA LIBRE</c:v>
                  </c:pt>
                </c:lvl>
              </c:multiLvlStrCache>
            </c:multiLvlStrRef>
          </c:cat>
          <c:val>
            <c:numRef>
              <c:f>'INDICADORES DEL PROYECTO'!$M$13</c:f>
              <c:numCache>
                <c:formatCode>_-* #,##0_-;\-* #,##0_-;_-* "-"??_-;_-@_-</c:formatCode>
                <c:ptCount val="1"/>
                <c:pt idx="0">
                  <c:v>326413914.93870008</c:v>
                </c:pt>
              </c:numCache>
            </c:numRef>
          </c:val>
          <c:extLst>
            <c:ext xmlns:c16="http://schemas.microsoft.com/office/drawing/2014/chart" uri="{C3380CC4-5D6E-409C-BE32-E72D297353CC}">
              <c16:uniqueId val="{00000009-6C57-46BE-9532-976DEBD9DF84}"/>
            </c:ext>
          </c:extLst>
        </c:ser>
        <c:dLbls>
          <c:showLegendKey val="0"/>
          <c:showVal val="0"/>
          <c:showCatName val="0"/>
          <c:showSerName val="0"/>
          <c:showPercent val="0"/>
          <c:showBubbleSize val="0"/>
        </c:dLbls>
        <c:gapWidth val="100"/>
        <c:overlap val="-24"/>
        <c:axId val="793215951"/>
        <c:axId val="1342504031"/>
      </c:barChart>
      <c:catAx>
        <c:axId val="79321595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342504031"/>
        <c:crosses val="autoZero"/>
        <c:auto val="1"/>
        <c:lblAlgn val="ctr"/>
        <c:lblOffset val="100"/>
        <c:noMultiLvlLbl val="0"/>
      </c:catAx>
      <c:valAx>
        <c:axId val="1342504031"/>
        <c:scaling>
          <c:orientation val="minMax"/>
        </c:scaling>
        <c:delete val="0"/>
        <c:axPos val="l"/>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79321595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'ESTADO SITUACIÓN FINANCIERA'!$A$13</c:f>
              <c:strCache>
                <c:ptCount val="1"/>
                <c:pt idx="0">
                  <c:v>TOTAL PASIVOS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'ESTADO SITUACIÓN FINANCIERA'!$B$13:$L$13</c:f>
              <c:numCache>
                <c:formatCode>_-* #,##0_-;\-* #,##0_-;_-* "-"??_-;_-@_-</c:formatCode>
                <c:ptCount val="11"/>
                <c:pt idx="0">
                  <c:v>142192705.029616</c:v>
                </c:pt>
                <c:pt idx="1">
                  <c:v>142192705.029616</c:v>
                </c:pt>
                <c:pt idx="2">
                  <c:v>142192705.029616</c:v>
                </c:pt>
                <c:pt idx="3">
                  <c:v>142192705.029616</c:v>
                </c:pt>
                <c:pt idx="4">
                  <c:v>142192705.029616</c:v>
                </c:pt>
                <c:pt idx="5">
                  <c:v>142192705.029616</c:v>
                </c:pt>
                <c:pt idx="6">
                  <c:v>142192705.029616</c:v>
                </c:pt>
                <c:pt idx="7">
                  <c:v>142192705.029616</c:v>
                </c:pt>
                <c:pt idx="8">
                  <c:v>142192705.029616</c:v>
                </c:pt>
                <c:pt idx="9">
                  <c:v>142192705.029616</c:v>
                </c:pt>
                <c:pt idx="10">
                  <c:v>0</c:v>
                </c:pt>
              </c:numCache>
            </c:numRef>
          </c:val>
          <c:extLst>
            <c:ext xmlns:c16="http://schemas.microsoft.com/office/drawing/2014/chart" uri="{C3380CC4-5D6E-409C-BE32-E72D297353CC}">
              <c16:uniqueId val="{00000000-7F8B-4727-9AA3-D9BE24DF406C}"/>
            </c:ext>
          </c:extLst>
        </c:ser>
        <c:ser>
          <c:idx val="1"/>
          <c:order val="1"/>
          <c:tx>
            <c:strRef>
              <c:f>'ESTADO SITUACIÓN FINANCIERA'!$A$17</c:f>
              <c:strCache>
                <c:ptCount val="1"/>
                <c:pt idx="0">
                  <c:v>TOTAL PATRIMONIO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'ESTADO SITUACIÓN FINANCIERA'!$B$17:$L$17</c:f>
              <c:numCache>
                <c:formatCode>_-* #,##0_-;\-* #,##0_-;_-* "-"??_-;_-@_-</c:formatCode>
                <c:ptCount val="11"/>
                <c:pt idx="0">
                  <c:v>213289057.544424</c:v>
                </c:pt>
                <c:pt idx="1">
                  <c:v>381741756.40527076</c:v>
                </c:pt>
                <c:pt idx="2">
                  <c:v>561704319.34283638</c:v>
                </c:pt>
                <c:pt idx="3">
                  <c:v>753668615.87108719</c:v>
                </c:pt>
                <c:pt idx="4">
                  <c:v>958140558.80798888</c:v>
                </c:pt>
                <c:pt idx="5">
                  <c:v>1175639734.6706564</c:v>
                </c:pt>
                <c:pt idx="6">
                  <c:v>1406698916.4110346</c:v>
                </c:pt>
                <c:pt idx="7">
                  <c:v>1651863443.881979</c:v>
                </c:pt>
                <c:pt idx="8">
                  <c:v>1911690455.9481494</c:v>
                </c:pt>
                <c:pt idx="9">
                  <c:v>2186747956.5445457</c:v>
                </c:pt>
                <c:pt idx="10">
                  <c:v>2619806400.2554579</c:v>
                </c:pt>
              </c:numCache>
            </c:numRef>
          </c:val>
          <c:extLst>
            <c:ext xmlns:c16="http://schemas.microsoft.com/office/drawing/2014/chart" uri="{C3380CC4-5D6E-409C-BE32-E72D297353CC}">
              <c16:uniqueId val="{00000001-7F8B-4727-9AA3-D9BE24DF406C}"/>
            </c:ext>
          </c:extLst>
        </c:ser>
        <c:dLbls>
          <c:showLegendKey val="0"/>
          <c:showVal val="0"/>
          <c:showCatName val="0"/>
          <c:showSerName val="0"/>
          <c:showPercent val="0"/>
          <c:showBubbleSize val="0"/>
        </c:dLbls>
        <c:gapWidth val="150"/>
        <c:overlap val="100"/>
        <c:axId val="1162508271"/>
        <c:axId val="1373736975"/>
      </c:barChart>
      <c:catAx>
        <c:axId val="116250827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373736975"/>
        <c:crosses val="autoZero"/>
        <c:auto val="1"/>
        <c:lblAlgn val="ctr"/>
        <c:lblOffset val="100"/>
        <c:noMultiLvlLbl val="0"/>
      </c:catAx>
      <c:valAx>
        <c:axId val="1373736975"/>
        <c:scaling>
          <c:orientation val="minMax"/>
        </c:scaling>
        <c:delete val="0"/>
        <c:axPos val="l"/>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162508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'PRESUPUESTO DE EFECTIVO'!$A$7</c:f>
              <c:strCache>
                <c:ptCount val="1"/>
                <c:pt idx="0">
                  <c:v>TOTAL ENTRADAS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1.1904761904761795E-3"/>
                  <c:y val="-9.259259259259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1-4CAB-B1FC-49B0EBFFB8AD}"/>
                </c:ext>
              </c:extLst>
            </c:dLbl>
            <c:dLbl>
              <c:idx val="1"/>
              <c:layout>
                <c:manualLayout>
                  <c:x val="1.190476190476168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E1-4CAB-B1FC-49B0EBFFB8AD}"/>
                </c:ext>
              </c:extLst>
            </c:dLbl>
            <c:dLbl>
              <c:idx val="2"/>
              <c:layout>
                <c:manualLayout>
                  <c:x val="3.5714285714285713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1-4CAB-B1FC-49B0EBFFB8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'PRESUPUESTO DE EFECTIVO'!$B$7:$L$7</c:f>
              <c:numCache>
                <c:formatCode>_-* #,##0_-;\-* #,##0_-;_-* "-"??_-;_-@_-</c:formatCode>
                <c:ptCount val="11"/>
                <c:pt idx="0">
                  <c:v>355481762.57404</c:v>
                </c:pt>
                <c:pt idx="1">
                  <c:v>494614797.17739367</c:v>
                </c:pt>
                <c:pt idx="2">
                  <c:v>577215870.70274723</c:v>
                </c:pt>
                <c:pt idx="3">
                  <c:v>814746294.63720202</c:v>
                </c:pt>
                <c:pt idx="4">
                  <c:v>1065577613.5619718</c:v>
                </c:pt>
                <c:pt idx="5">
                  <c:v>1330292390.8176003</c:v>
                </c:pt>
                <c:pt idx="6">
                  <c:v>1609491385.8246124</c:v>
                </c:pt>
                <c:pt idx="7">
                  <c:v>1903793333.6396646</c:v>
                </c:pt>
                <c:pt idx="8">
                  <c:v>2213834607.9845023</c:v>
                </c:pt>
                <c:pt idx="9">
                  <c:v>2540268752.590939</c:v>
                </c:pt>
                <c:pt idx="10">
                  <c:v>2883765864.1482902</c:v>
                </c:pt>
              </c:numCache>
            </c:numRef>
          </c:val>
          <c:extLst>
            <c:ext xmlns:c16="http://schemas.microsoft.com/office/drawing/2014/chart" uri="{C3380CC4-5D6E-409C-BE32-E72D297353CC}">
              <c16:uniqueId val="{00000000-FAE1-4CAB-B1FC-49B0EBFFB8AD}"/>
            </c:ext>
          </c:extLst>
        </c:ser>
        <c:ser>
          <c:idx val="1"/>
          <c:order val="1"/>
          <c:tx>
            <c:strRef>
              <c:f>'PRESUPUESTO DE EFECTIVO'!$A$12</c:f>
              <c:strCache>
                <c:ptCount val="1"/>
                <c:pt idx="0">
                  <c:v>TOTAL SALIDAS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'PRESUPUESTO DE EFECTIVO'!$B$12:$L$12</c:f>
              <c:numCache>
                <c:formatCode>_-* #,##0_-;\-* #,##0_-;_-* "-"??_-;_-@_-</c:formatCode>
                <c:ptCount val="11"/>
                <c:pt idx="0">
                  <c:v>213289057.544424</c:v>
                </c:pt>
                <c:pt idx="1">
                  <c:v>290613922.05914295</c:v>
                </c:pt>
                <c:pt idx="2">
                  <c:v>157704256.38952693</c:v>
                </c:pt>
                <c:pt idx="3">
                  <c:v>167722207.53832695</c:v>
                </c:pt>
                <c:pt idx="4">
                  <c:v>178533407.26879093</c:v>
                </c:pt>
                <c:pt idx="5">
                  <c:v>190200832.4043479</c:v>
                </c:pt>
                <c:pt idx="6">
                  <c:v>202792469.41357797</c:v>
                </c:pt>
                <c:pt idx="7">
                  <c:v>216381713.50028187</c:v>
                </c:pt>
                <c:pt idx="8">
                  <c:v>231047799.5215449</c:v>
                </c:pt>
                <c:pt idx="9">
                  <c:v>246876267.27418151</c:v>
                </c:pt>
                <c:pt idx="10">
                  <c:v>263959463.89283228</c:v>
                </c:pt>
              </c:numCache>
            </c:numRef>
          </c:val>
          <c:extLst>
            <c:ext xmlns:c16="http://schemas.microsoft.com/office/drawing/2014/chart" uri="{C3380CC4-5D6E-409C-BE32-E72D297353CC}">
              <c16:uniqueId val="{00000001-FAE1-4CAB-B1FC-49B0EBFFB8AD}"/>
            </c:ext>
          </c:extLst>
        </c:ser>
        <c:dLbls>
          <c:showLegendKey val="0"/>
          <c:showVal val="0"/>
          <c:showCatName val="0"/>
          <c:showSerName val="0"/>
          <c:showPercent val="0"/>
          <c:showBubbleSize val="0"/>
        </c:dLbls>
        <c:gapWidth val="100"/>
        <c:overlap val="-24"/>
        <c:axId val="1059852463"/>
        <c:axId val="1373735983"/>
      </c:barChart>
      <c:catAx>
        <c:axId val="10598524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373735983"/>
        <c:crosses val="autoZero"/>
        <c:auto val="1"/>
        <c:lblAlgn val="ctr"/>
        <c:lblOffset val="100"/>
        <c:noMultiLvlLbl val="0"/>
      </c:catAx>
      <c:valAx>
        <c:axId val="1373735983"/>
        <c:scaling>
          <c:orientation val="minMax"/>
        </c:scaling>
        <c:delete val="0"/>
        <c:axPos val="l"/>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0598524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'MANO DE OBRA'!$C$4:$D$4</c:f>
              <c:strCache>
                <c:ptCount val="2"/>
                <c:pt idx="0">
                  <c:v>SALARIOS</c:v>
                </c:pt>
                <c:pt idx="1">
                  <c:v>COSTOS</c:v>
                </c:pt>
              </c:strCache>
            </c:strRef>
          </c:cat>
          <c:val>
            <c:numRef>
              <c:f>'MANO DE OBRA'!$C$15:$D$15</c:f>
              <c:numCache>
                <c:formatCode>_-* #,##0_-;\-* #,##0_-;_-* "-"??_-;_-@_-</c:formatCode>
                <c:ptCount val="2"/>
                <c:pt idx="0">
                  <c:v>5300000</c:v>
                </c:pt>
                <c:pt idx="1">
                  <c:v>7951332.666666666</c:v>
                </c:pt>
              </c:numCache>
            </c:numRef>
          </c:val>
          <c:extLst>
            <c:ext xmlns:c16="http://schemas.microsoft.com/office/drawing/2014/chart" uri="{C3380CC4-5D6E-409C-BE32-E72D297353CC}">
              <c16:uniqueId val="{00000000-8E35-4B18-B419-7D2B9C87B462}"/>
            </c:ext>
          </c:extLst>
        </c:ser>
        <c:dLbls>
          <c:showLegendKey val="0"/>
          <c:showVal val="0"/>
          <c:showCatName val="0"/>
          <c:showSerName val="0"/>
          <c:showPercent val="0"/>
          <c:showBubbleSize val="0"/>
        </c:dLbls>
        <c:gapWidth val="315"/>
        <c:overlap val="-40"/>
        <c:axId val="1062120255"/>
        <c:axId val="1373739951"/>
      </c:barChart>
      <c:catAx>
        <c:axId val="1062120255"/>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73739951"/>
        <c:crosses val="autoZero"/>
        <c:auto val="1"/>
        <c:lblAlgn val="ctr"/>
        <c:lblOffset val="100"/>
        <c:noMultiLvlLbl val="0"/>
      </c:catAx>
      <c:valAx>
        <c:axId val="1373739951"/>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062120255"/>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'FINANCIACIÓN PARA MOSTRAR'!$G$6</c:f>
              <c:strCache>
                <c:ptCount val="1"/>
                <c:pt idx="0">
                  <c:v>INTERESES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'FINANCIACIÓN PARA MOSTRAR'!$H$6:$L$6</c:f>
              <c:numCache>
                <c:formatCode>_-* #,##0_-;\-* #,##0_-;_-* "-"??_-;_-@_-</c:formatCode>
                <c:ptCount val="5"/>
                <c:pt idx="0">
                  <c:v>25147786.974537171</c:v>
                </c:pt>
                <c:pt idx="1">
                  <c:v>24052826.377350867</c:v>
                </c:pt>
                <c:pt idx="2">
                  <c:v>22743671.59032055</c:v>
                </c:pt>
                <c:pt idx="3">
                  <c:v>21178422.33769124</c:v>
                </c:pt>
                <c:pt idx="4">
                  <c:v>19306981.888381049</c:v>
                </c:pt>
              </c:numCache>
            </c:numRef>
          </c:val>
          <c:extLst>
            <c:ext xmlns:c16="http://schemas.microsoft.com/office/drawing/2014/chart" uri="{C3380CC4-5D6E-409C-BE32-E72D297353CC}">
              <c16:uniqueId val="{00000000-E7E4-4903-AD1C-5B61C382E006}"/>
            </c:ext>
          </c:extLst>
        </c:ser>
        <c:ser>
          <c:idx val="1"/>
          <c:order val="1"/>
          <c:tx>
            <c:strRef>
              <c:f>'FINANCIACIÓN PARA MOSTRAR'!$G$7</c:f>
              <c:strCache>
                <c:ptCount val="1"/>
                <c:pt idx="0">
                  <c:v>CAPITAL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'FINANCIACIÓN PARA MOSTRAR'!$H$7:$L$7</c:f>
              <c:numCache>
                <c:formatCode>_-* #,##0_-;\-* #,##0_-;_-* "-"??_-;_-@_-</c:formatCode>
                <c:ptCount val="5"/>
                <c:pt idx="0">
                  <c:v>5597438.0549897384</c:v>
                </c:pt>
                <c:pt idx="1">
                  <c:v>6692398.652176044</c:v>
                </c:pt>
                <c:pt idx="2">
                  <c:v>8001553.4392063636</c:v>
                </c:pt>
                <c:pt idx="3">
                  <c:v>9566802.6918356735</c:v>
                </c:pt>
                <c:pt idx="4">
                  <c:v>11438243.141145861</c:v>
                </c:pt>
              </c:numCache>
            </c:numRef>
          </c:val>
          <c:extLst>
            <c:ext xmlns:c16="http://schemas.microsoft.com/office/drawing/2014/chart" uri="{C3380CC4-5D6E-409C-BE32-E72D297353CC}">
              <c16:uniqueId val="{00000001-E7E4-4903-AD1C-5B61C382E006}"/>
            </c:ext>
          </c:extLst>
        </c:ser>
        <c:ser>
          <c:idx val="2"/>
          <c:order val="2"/>
          <c:tx>
            <c:strRef>
              <c:f>'FINANCIACIÓN PARA MOSTRAR'!$G$9</c:f>
              <c:strCache>
                <c:ptCount val="1"/>
                <c:pt idx="0">
                  <c:v>FONDO NACIONAL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'FINANCIACIÓN PARA MOSTRAR'!$H$9:$L$9</c:f>
              <c:numCache>
                <c:formatCode>_-* #,##0_-;\-* #,##0_-;_-* "-"??_-;_-@_-</c:formatCode>
                <c:ptCount val="5"/>
                <c:pt idx="0">
                  <c:v>0</c:v>
                </c:pt>
                <c:pt idx="1">
                  <c:v>0</c:v>
                </c:pt>
                <c:pt idx="2">
                  <c:v>0</c:v>
                </c:pt>
                <c:pt idx="3">
                  <c:v>0</c:v>
                </c:pt>
                <c:pt idx="4">
                  <c:v>0</c:v>
                </c:pt>
              </c:numCache>
            </c:numRef>
          </c:val>
          <c:extLst>
            <c:ext xmlns:c16="http://schemas.microsoft.com/office/drawing/2014/chart" uri="{C3380CC4-5D6E-409C-BE32-E72D297353CC}">
              <c16:uniqueId val="{00000002-E7E4-4903-AD1C-5B61C382E006}"/>
            </c:ext>
          </c:extLst>
        </c:ser>
        <c:dLbls>
          <c:showLegendKey val="0"/>
          <c:showVal val="0"/>
          <c:showCatName val="0"/>
          <c:showSerName val="0"/>
          <c:showPercent val="0"/>
          <c:showBubbleSize val="0"/>
        </c:dLbls>
        <c:gapWidth val="150"/>
        <c:overlap val="100"/>
        <c:axId val="1062091039"/>
        <c:axId val="1373753839"/>
      </c:barChart>
      <c:catAx>
        <c:axId val="1062091039"/>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373753839"/>
        <c:crosses val="autoZero"/>
        <c:auto val="1"/>
        <c:lblAlgn val="ctr"/>
        <c:lblOffset val="100"/>
        <c:noMultiLvlLbl val="0"/>
      </c:catAx>
      <c:valAx>
        <c:axId val="1373753839"/>
        <c:scaling>
          <c:orientation val="minMax"/>
        </c:scaling>
        <c:delete val="0"/>
        <c:axPos val="b"/>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062091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(WACC!$A$18:$A$19,WACC!$A$23)</c:f>
              <c:strCache>
                <c:ptCount val="3"/>
                <c:pt idx="0">
                  <c:v>TASA INVERSIONISTA COLOMBIA</c:v>
                </c:pt>
                <c:pt idx="1">
                  <c:v>COSTO PROMEDIO PONDERADO DE LA DEUDA</c:v>
                </c:pt>
                <c:pt idx="2">
                  <c:v>WACC real antes de impuestos</c:v>
                </c:pt>
              </c:strCache>
            </c:strRef>
          </c:cat>
          <c:val>
            <c:numRef>
              <c:f>(WACC!$B$18,WACC!$B$19,WACC!$B$23)</c:f>
              <c:numCache>
                <c:formatCode>0.00%</c:formatCode>
                <c:ptCount val="3"/>
                <c:pt idx="0">
                  <c:v>0.21151773020718978</c:v>
                </c:pt>
                <c:pt idx="1">
                  <c:v>0.13</c:v>
                </c:pt>
                <c:pt idx="2">
                  <c:v>0.20623514078903993</c:v>
                </c:pt>
              </c:numCache>
            </c:numRef>
          </c:val>
          <c:extLst>
            <c:ext xmlns:c16="http://schemas.microsoft.com/office/drawing/2014/chart" uri="{C3380CC4-5D6E-409C-BE32-E72D297353CC}">
              <c16:uniqueId val="{00000000-54C7-4861-8CE5-EEDB9DF493C0}"/>
            </c:ext>
          </c:extLst>
        </c:ser>
        <c:dLbls>
          <c:showLegendKey val="0"/>
          <c:showVal val="0"/>
          <c:showCatName val="0"/>
          <c:showSerName val="0"/>
          <c:showPercent val="0"/>
          <c:showBubbleSize val="0"/>
        </c:dLbls>
        <c:gapWidth val="315"/>
        <c:overlap val="-40"/>
        <c:axId val="1164397455"/>
        <c:axId val="991008783"/>
      </c:barChart>
      <c:catAx>
        <c:axId val="1164397455"/>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991008783"/>
        <c:crosses val="autoZero"/>
        <c:auto val="1"/>
        <c:lblAlgn val="ctr"/>
        <c:lblOffset val="100"/>
        <c:noMultiLvlLbl val="0"/>
      </c:catAx>
      <c:valAx>
        <c:axId val="991008783"/>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164397455"/>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AOM Y OPEX</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E552-4A37-AC1A-B77ADB3A938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E552-4A37-AC1A-B77ADB3A93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val>
            <c:numRef>
              <c:f>'AOM Y OPEX'!$B$25:$B$26</c:f>
              <c:numCache>
                <c:formatCode>0.00%</c:formatCode>
                <c:ptCount val="2"/>
                <c:pt idx="0">
                  <c:v>0.94697304102607438</c:v>
                </c:pt>
                <c:pt idx="1">
                  <c:v>5.302695897392562E-2</c:v>
                </c:pt>
              </c:numCache>
            </c:numRef>
          </c:val>
          <c:extLst>
            <c:ext xmlns:c16="http://schemas.microsoft.com/office/drawing/2014/chart" uri="{C3380CC4-5D6E-409C-BE32-E72D297353CC}">
              <c16:uniqueId val="{00000004-E552-4A37-AC1A-B77ADB3A938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chemeClr val="accent6">
                <a:lumMod val="50000"/>
              </a:schemeClr>
            </a:solidFill>
          </c:spPr>
          <c:dPt>
            <c:idx val="0"/>
            <c:bubble3D val="0"/>
            <c:spPr>
              <a:solidFill>
                <a:schemeClr val="accent6">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8F9E-47FE-B48A-E1AE2BE7F03C}"/>
              </c:ext>
            </c:extLst>
          </c:dPt>
          <c:dPt>
            <c:idx val="1"/>
            <c:bubble3D val="0"/>
            <c:spPr>
              <a:solidFill>
                <a:schemeClr val="bg1">
                  <a:lumMod val="9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8F9E-47FE-B48A-E1AE2BE7F03C}"/>
              </c:ext>
            </c:extLst>
          </c:dPt>
          <c:dLbls>
            <c:dLbl>
              <c:idx val="0"/>
              <c:layout>
                <c:manualLayout>
                  <c:x val="2.728296730618722E-2"/>
                  <c:y val="-0.12992652322203044"/>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7124990444155644"/>
                      <c:h val="0.21042628292153134"/>
                    </c:manualLayout>
                  </c15:layout>
                </c:ext>
                <c:ext xmlns:c16="http://schemas.microsoft.com/office/drawing/2014/chart" uri="{C3380CC4-5D6E-409C-BE32-E72D297353CC}">
                  <c16:uniqueId val="{00000002-8F9E-47FE-B48A-E1AE2BE7F03C}"/>
                </c:ext>
              </c:extLst>
            </c:dLbl>
            <c:dLbl>
              <c:idx val="1"/>
              <c:delete val="1"/>
              <c:extLst>
                <c:ext xmlns:c15="http://schemas.microsoft.com/office/drawing/2012/chart" uri="{CE6537A1-D6FC-4f65-9D91-7224C49458BB}"/>
                <c:ext xmlns:c16="http://schemas.microsoft.com/office/drawing/2014/chart" uri="{C3380CC4-5D6E-409C-BE32-E72D297353CC}">
                  <c16:uniqueId val="{00000001-8F9E-47FE-B48A-E1AE2BE7F03C}"/>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ECONÓMICAS!$T$9:$T$10</c:f>
              <c:numCache>
                <c:formatCode>0.00%</c:formatCode>
                <c:ptCount val="2"/>
                <c:pt idx="0">
                  <c:v>0.42857142857142855</c:v>
                </c:pt>
                <c:pt idx="1">
                  <c:v>0.5714285714285714</c:v>
                </c:pt>
              </c:numCache>
            </c:numRef>
          </c:val>
          <c:extLst>
            <c:ext xmlns:c16="http://schemas.microsoft.com/office/drawing/2014/chart" uri="{C3380CC4-5D6E-409C-BE32-E72D297353CC}">
              <c16:uniqueId val="{00000000-8F9E-47FE-B48A-E1AE2BE7F03C}"/>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EEB2-4909-819A-D0E87CB404BC}"/>
              </c:ext>
            </c:extLst>
          </c:dPt>
          <c:dPt>
            <c:idx val="1"/>
            <c:bubble3D val="0"/>
            <c:spPr>
              <a:solidFill>
                <a:schemeClr val="bg1">
                  <a:lumMod val="9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EEB2-4909-819A-D0E87CB404BC}"/>
              </c:ext>
            </c:extLst>
          </c:dPt>
          <c:dLbls>
            <c:dLbl>
              <c:idx val="0"/>
              <c:layout>
                <c:manualLayout>
                  <c:x val="8.4521786506505464E-2"/>
                  <c:y val="-0.49639563771106154"/>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B2-4909-819A-D0E87CB404BC}"/>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val>
            <c:numRef>
              <c:f>ECONÓMICAS!$T$20:$T$21</c:f>
              <c:numCache>
                <c:formatCode>0.00%</c:formatCode>
                <c:ptCount val="2"/>
                <c:pt idx="0">
                  <c:v>0.33333333333333331</c:v>
                </c:pt>
                <c:pt idx="1">
                  <c:v>0.66666666666666674</c:v>
                </c:pt>
              </c:numCache>
            </c:numRef>
          </c:val>
          <c:extLst>
            <c:ext xmlns:c16="http://schemas.microsoft.com/office/drawing/2014/chart" uri="{C3380CC4-5D6E-409C-BE32-E72D297353CC}">
              <c16:uniqueId val="{00000004-EEB2-4909-819A-D0E87CB404BC}"/>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4B8B-4395-B0A5-63E43A14ACC0}"/>
              </c:ext>
            </c:extLst>
          </c:dPt>
          <c:dPt>
            <c:idx val="1"/>
            <c:bubble3D val="0"/>
            <c:spPr>
              <a:solidFill>
                <a:schemeClr val="bg1">
                  <a:lumMod val="9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4B8B-4395-B0A5-63E43A14ACC0}"/>
              </c:ext>
            </c:extLst>
          </c:dPt>
          <c:dLbls>
            <c:dLbl>
              <c:idx val="0"/>
              <c:layout>
                <c:manualLayout>
                  <c:x val="5.4901178288386344E-2"/>
                  <c:y val="-0.24937260516232262"/>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8B-4395-B0A5-63E43A14ACC0}"/>
                </c:ext>
              </c:extLst>
            </c:dLbl>
            <c:dLbl>
              <c:idx val="1"/>
              <c:delete val="1"/>
              <c:extLst>
                <c:ext xmlns:c15="http://schemas.microsoft.com/office/drawing/2012/chart" uri="{CE6537A1-D6FC-4f65-9D91-7224C49458BB}"/>
                <c:ext xmlns:c16="http://schemas.microsoft.com/office/drawing/2014/chart" uri="{C3380CC4-5D6E-409C-BE32-E72D297353CC}">
                  <c16:uniqueId val="{00000003-4B8B-4395-B0A5-63E43A14AC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ECONÓMICAS!$T$12:$T$13</c:f>
              <c:numCache>
                <c:formatCode>0.00%</c:formatCode>
                <c:ptCount val="2"/>
                <c:pt idx="0">
                  <c:v>0</c:v>
                </c:pt>
                <c:pt idx="1">
                  <c:v>1</c:v>
                </c:pt>
              </c:numCache>
            </c:numRef>
          </c:val>
          <c:extLst>
            <c:ext xmlns:c16="http://schemas.microsoft.com/office/drawing/2014/chart" uri="{C3380CC4-5D6E-409C-BE32-E72D297353CC}">
              <c16:uniqueId val="{00000004-4B8B-4395-B0A5-63E43A14ACC0}"/>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2744-422D-AFC7-3C8EDC96E68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2744-422D-AFC7-3C8EDC96E68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744-422D-AFC7-3C8EDC96E68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94A6-4C9B-99AA-19223288DD89}"/>
              </c:ext>
            </c:extLst>
          </c:dPt>
          <c:dLbls>
            <c:dLbl>
              <c:idx val="0"/>
              <c:layout>
                <c:manualLayout>
                  <c:x val="-1.6307893020221786E-2"/>
                  <c:y val="3.2485875706214688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1"/>
              <c:showBubbleSize val="0"/>
              <c:extLst>
                <c:ext xmlns:c15="http://schemas.microsoft.com/office/drawing/2012/chart" uri="{CE6537A1-D6FC-4f65-9D91-7224C49458BB}">
                  <c15:layout>
                    <c:manualLayout>
                      <c:w val="0.36399217221135027"/>
                      <c:h val="0.31497175141242939"/>
                    </c:manualLayout>
                  </c15:layout>
                </c:ext>
                <c:ext xmlns:c16="http://schemas.microsoft.com/office/drawing/2014/chart" uri="{C3380CC4-5D6E-409C-BE32-E72D297353CC}">
                  <c16:uniqueId val="{00000001-2744-422D-AFC7-3C8EDC96E684}"/>
                </c:ext>
              </c:extLst>
            </c:dLbl>
            <c:dLbl>
              <c:idx val="1"/>
              <c:layout>
                <c:manualLayout>
                  <c:x val="0"/>
                  <c:y val="8.0257796165309897E-2"/>
                </c:manualLayout>
              </c:layout>
              <c:showLegendKey val="0"/>
              <c:showVal val="1"/>
              <c:showCatName val="0"/>
              <c:showSerName val="0"/>
              <c:showPercent val="1"/>
              <c:showBubbleSize val="0"/>
              <c:extLst>
                <c:ext xmlns:c15="http://schemas.microsoft.com/office/drawing/2012/chart" uri="{CE6537A1-D6FC-4f65-9D91-7224C49458BB}">
                  <c15:layout>
                    <c:manualLayout>
                      <c:w val="0.37850619699934768"/>
                      <c:h val="0.30661016949152536"/>
                    </c:manualLayout>
                  </c15:layout>
                </c:ext>
                <c:ext xmlns:c16="http://schemas.microsoft.com/office/drawing/2014/chart" uri="{C3380CC4-5D6E-409C-BE32-E72D297353CC}">
                  <c16:uniqueId val="{00000002-2744-422D-AFC7-3C8EDC96E684}"/>
                </c:ext>
              </c:extLst>
            </c:dLbl>
            <c:dLbl>
              <c:idx val="2"/>
              <c:layout>
                <c:manualLayout>
                  <c:x val="9.1324200913242004E-2"/>
                  <c:y val="5.0494683927220965E-2"/>
                </c:manualLayout>
              </c:layout>
              <c:showLegendKey val="0"/>
              <c:showVal val="1"/>
              <c:showCatName val="0"/>
              <c:showSerName val="0"/>
              <c:showPercent val="1"/>
              <c:showBubbleSize val="0"/>
              <c:extLst>
                <c:ext xmlns:c15="http://schemas.microsoft.com/office/drawing/2012/chart" uri="{CE6537A1-D6FC-4f65-9D91-7224C49458BB}">
                  <c15:layout>
                    <c:manualLayout>
                      <c:w val="0.37426614481409004"/>
                      <c:h val="0.30508474576271188"/>
                    </c:manualLayout>
                  </c15:layout>
                </c:ext>
                <c:ext xmlns:c16="http://schemas.microsoft.com/office/drawing/2014/chart" uri="{C3380CC4-5D6E-409C-BE32-E72D297353CC}">
                  <c16:uniqueId val="{00000003-2744-422D-AFC7-3C8EDC96E68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CAPITAL!$A$7:$A$10</c:f>
              <c:strCache>
                <c:ptCount val="4"/>
                <c:pt idx="0">
                  <c:v>Capital propio</c:v>
                </c:pt>
                <c:pt idx="1">
                  <c:v>Financiación</c:v>
                </c:pt>
                <c:pt idx="2">
                  <c:v>Apoyos</c:v>
                </c:pt>
                <c:pt idx="3">
                  <c:v>Capital de terceros</c:v>
                </c:pt>
              </c:strCache>
            </c:strRef>
          </c:cat>
          <c:val>
            <c:numRef>
              <c:f>CAPITAL!$B$7:$B$10</c:f>
              <c:numCache>
                <c:formatCode>_-* #,##0_-;\-* #,##0_-;_-* "-"??_-;_-@_-</c:formatCode>
                <c:ptCount val="4"/>
                <c:pt idx="0">
                  <c:v>35548176.257404</c:v>
                </c:pt>
                <c:pt idx="1">
                  <c:v>142192705.029616</c:v>
                </c:pt>
                <c:pt idx="2">
                  <c:v>0</c:v>
                </c:pt>
                <c:pt idx="3">
                  <c:v>177740881.28702</c:v>
                </c:pt>
              </c:numCache>
            </c:numRef>
          </c:val>
          <c:extLst>
            <c:ext xmlns:c16="http://schemas.microsoft.com/office/drawing/2014/chart" uri="{C3380CC4-5D6E-409C-BE32-E72D297353CC}">
              <c16:uniqueId val="{00000000-2744-422D-AFC7-3C8EDC96E68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995983378789979E-2"/>
          <c:y val="0.78389697050580542"/>
          <c:w val="0.95029533979485437"/>
          <c:h val="0.18220472440944882"/>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48B2-4B39-9F9E-F6DA28D7387F}"/>
              </c:ext>
            </c:extLst>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48B2-4B39-9F9E-F6DA28D7387F}"/>
              </c:ext>
            </c:extLst>
          </c:dPt>
          <c:dPt>
            <c:idx val="2"/>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48B2-4B39-9F9E-F6DA28D7387F}"/>
              </c:ext>
            </c:extLst>
          </c:dPt>
          <c:dLbls>
            <c:dLbl>
              <c:idx val="0"/>
              <c:layout>
                <c:manualLayout>
                  <c:x val="-0.15478164731896074"/>
                  <c:y val="-0.1698782443861184"/>
                </c:manualLayout>
              </c:layout>
              <c:showLegendKey val="0"/>
              <c:showVal val="1"/>
              <c:showCatName val="0"/>
              <c:showSerName val="0"/>
              <c:showPercent val="1"/>
              <c:showBubbleSize val="0"/>
              <c:extLst>
                <c:ext xmlns:c15="http://schemas.microsoft.com/office/drawing/2012/chart" uri="{CE6537A1-D6FC-4f65-9D91-7224C49458BB}">
                  <c15:layout>
                    <c:manualLayout>
                      <c:w val="0.38640132669983418"/>
                      <c:h val="0.25"/>
                    </c:manualLayout>
                  </c15:layout>
                </c:ext>
                <c:ext xmlns:c16="http://schemas.microsoft.com/office/drawing/2014/chart" uri="{C3380CC4-5D6E-409C-BE32-E72D297353CC}">
                  <c16:uniqueId val="{00000003-48B2-4B39-9F9E-F6DA28D7387F}"/>
                </c:ext>
              </c:extLst>
            </c:dLbl>
            <c:dLbl>
              <c:idx val="1"/>
              <c:showLegendKey val="0"/>
              <c:showVal val="1"/>
              <c:showCatName val="0"/>
              <c:showSerName val="0"/>
              <c:showPercent val="1"/>
              <c:showBubbleSize val="0"/>
              <c:extLst>
                <c:ext xmlns:c15="http://schemas.microsoft.com/office/drawing/2012/chart" uri="{CE6537A1-D6FC-4f65-9D91-7224C49458BB}">
                  <c15:layout>
                    <c:manualLayout>
                      <c:w val="0.23355444997236041"/>
                      <c:h val="9.375E-2"/>
                    </c:manualLayout>
                  </c15:layout>
                </c:ext>
                <c:ext xmlns:c16="http://schemas.microsoft.com/office/drawing/2014/chart" uri="{C3380CC4-5D6E-409C-BE32-E72D297353CC}">
                  <c16:uniqueId val="{00000002-48B2-4B39-9F9E-F6DA28D7387F}"/>
                </c:ext>
              </c:extLst>
            </c:dLbl>
            <c:dLbl>
              <c:idx val="2"/>
              <c:showLegendKey val="0"/>
              <c:showVal val="1"/>
              <c:showCatName val="0"/>
              <c:showSerName val="0"/>
              <c:showPercent val="1"/>
              <c:showBubbleSize val="0"/>
              <c:extLst>
                <c:ext xmlns:c15="http://schemas.microsoft.com/office/drawing/2012/chart" uri="{CE6537A1-D6FC-4f65-9D91-7224C49458BB}">
                  <c15:layout>
                    <c:manualLayout>
                      <c:w val="0.32545605306799336"/>
                      <c:h val="0.17361111111111113"/>
                    </c:manualLayout>
                  </c15:layout>
                </c:ext>
                <c:ext xmlns:c16="http://schemas.microsoft.com/office/drawing/2014/chart" uri="{C3380CC4-5D6E-409C-BE32-E72D297353CC}">
                  <c16:uniqueId val="{00000001-48B2-4B39-9F9E-F6DA28D7387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CAPITAL!$H$6:$H$8</c:f>
              <c:strCache>
                <c:ptCount val="3"/>
                <c:pt idx="0">
                  <c:v>PROPIEDAD COMUNIDAD</c:v>
                </c:pt>
                <c:pt idx="1">
                  <c:v>PROPIEDAD TERCEROS</c:v>
                </c:pt>
                <c:pt idx="2">
                  <c:v>FINANCIACIÓN</c:v>
                </c:pt>
              </c:strCache>
            </c:strRef>
          </c:cat>
          <c:val>
            <c:numRef>
              <c:f>CAPITAL!$I$6:$I$8</c:f>
              <c:numCache>
                <c:formatCode>_-* #,##0_-;\-* #,##0_-;_-* "-"??_-;_-@_-</c:formatCode>
                <c:ptCount val="3"/>
                <c:pt idx="0">
                  <c:v>35548176.257404</c:v>
                </c:pt>
                <c:pt idx="1">
                  <c:v>177740881.28702</c:v>
                </c:pt>
                <c:pt idx="2">
                  <c:v>142192705.029616</c:v>
                </c:pt>
              </c:numCache>
            </c:numRef>
          </c:val>
          <c:extLst>
            <c:ext xmlns:c16="http://schemas.microsoft.com/office/drawing/2014/chart" uri="{C3380CC4-5D6E-409C-BE32-E72D297353CC}">
              <c16:uniqueId val="{00000000-48B2-4B39-9F9E-F6DA28D7387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'OTRAS ACTIVIDADES ECONÓMICAS'!$A$9</c:f>
              <c:strCache>
                <c:ptCount val="1"/>
                <c:pt idx="0">
                  <c:v>Ingresos mensuales por otras actividades económicas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'OTRAS ACTIVIDADES ECONÓMICAS'!$B$9:$K$9</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388-42AF-A964-BBF4F8C791AE}"/>
            </c:ext>
          </c:extLst>
        </c:ser>
        <c:ser>
          <c:idx val="1"/>
          <c:order val="1"/>
          <c:tx>
            <c:strRef>
              <c:f>'OTRAS ACTIVIDADES ECONÓMICAS'!$A$10</c:f>
              <c:strCache>
                <c:ptCount val="1"/>
                <c:pt idx="0">
                  <c:v>Costos y Gastos fijos mensuales por otras actividades económicas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'OTRAS ACTIVIDADES ECONÓMICAS'!$B$10:$K$10</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2388-42AF-A964-BBF4F8C791AE}"/>
            </c:ext>
          </c:extLst>
        </c:ser>
        <c:ser>
          <c:idx val="2"/>
          <c:order val="2"/>
          <c:tx>
            <c:strRef>
              <c:f>'OTRAS ACTIVIDADES ECONÓMICAS'!$A$11</c:f>
              <c:strCache>
                <c:ptCount val="1"/>
                <c:pt idx="0">
                  <c:v>Costos y Gastos variables por otras actividades económicas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'OTRAS ACTIVIDADES ECONÓMICAS'!$B$11:$K$11</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2388-42AF-A964-BBF4F8C791AE}"/>
            </c:ext>
          </c:extLst>
        </c:ser>
        <c:dLbls>
          <c:showLegendKey val="0"/>
          <c:showVal val="0"/>
          <c:showCatName val="0"/>
          <c:showSerName val="0"/>
          <c:showPercent val="0"/>
          <c:showBubbleSize val="0"/>
        </c:dLbls>
        <c:gapWidth val="150"/>
        <c:overlap val="100"/>
        <c:axId val="1250707631"/>
        <c:axId val="997520607"/>
      </c:barChart>
      <c:catAx>
        <c:axId val="125070763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997520607"/>
        <c:crosses val="autoZero"/>
        <c:auto val="1"/>
        <c:lblAlgn val="ctr"/>
        <c:lblOffset val="100"/>
        <c:noMultiLvlLbl val="0"/>
      </c:catAx>
      <c:valAx>
        <c:axId val="997520607"/>
        <c:scaling>
          <c:orientation val="minMax"/>
        </c:scaling>
        <c:delete val="0"/>
        <c:axPos val="l"/>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250707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'PUNTO DE EQUILIBRIO'!$A$6:$A$7</c:f>
              <c:strCache>
                <c:ptCount val="2"/>
                <c:pt idx="0">
                  <c:v>Ingresos Energía</c:v>
                </c:pt>
                <c:pt idx="1">
                  <c:v>Costos Energía</c:v>
                </c:pt>
              </c:strCache>
            </c:strRef>
          </c:cat>
          <c:val>
            <c:numRef>
              <c:f>'PUNTO DE EQUILIBRIO'!$B$6:$B$7</c:f>
              <c:numCache>
                <c:formatCode>_-* #,##0_-;\-* #,##0_-;_-* "-"??_-;_-@_-</c:formatCode>
                <c:ptCount val="2"/>
                <c:pt idx="0">
                  <c:v>352422092.14777768</c:v>
                </c:pt>
                <c:pt idx="1">
                  <c:v>111435992</c:v>
                </c:pt>
              </c:numCache>
            </c:numRef>
          </c:val>
          <c:extLst>
            <c:ext xmlns:c16="http://schemas.microsoft.com/office/drawing/2014/chart" uri="{C3380CC4-5D6E-409C-BE32-E72D297353CC}">
              <c16:uniqueId val="{00000000-C7D9-42A1-A66B-2078F1F923F7}"/>
            </c:ext>
          </c:extLst>
        </c:ser>
        <c:dLbls>
          <c:showLegendKey val="0"/>
          <c:showVal val="0"/>
          <c:showCatName val="0"/>
          <c:showSerName val="0"/>
          <c:showPercent val="0"/>
          <c:showBubbleSize val="0"/>
        </c:dLbls>
        <c:gapWidth val="115"/>
        <c:overlap val="-20"/>
        <c:axId val="997525535"/>
        <c:axId val="981990591"/>
      </c:barChart>
      <c:catAx>
        <c:axId val="997525535"/>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981990591"/>
        <c:crosses val="autoZero"/>
        <c:auto val="1"/>
        <c:lblAlgn val="ctr"/>
        <c:lblOffset val="100"/>
        <c:noMultiLvlLbl val="0"/>
      </c:catAx>
      <c:valAx>
        <c:axId val="981990591"/>
        <c:scaling>
          <c:orientation val="minMax"/>
        </c:scaling>
        <c:delete val="0"/>
        <c:axPos val="b"/>
        <c:majorGridlines>
          <c:spPr>
            <a:ln w="9525" cap="flat" cmpd="sng" algn="ctr">
              <a:solidFill>
                <a:schemeClr val="lt1">
                  <a:lumMod val="95000"/>
                  <a:alpha val="10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997525535"/>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hyperlink" Target="#MEN&#218;!A1"/><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3" Type="http://schemas.openxmlformats.org/officeDocument/2006/relationships/hyperlink" Target="#WACC!A1"/><Relationship Id="rId18" Type="http://schemas.openxmlformats.org/officeDocument/2006/relationships/image" Target="../media/image30.png"/><Relationship Id="rId26" Type="http://schemas.openxmlformats.org/officeDocument/2006/relationships/image" Target="../media/image23.png"/><Relationship Id="rId39" Type="http://schemas.openxmlformats.org/officeDocument/2006/relationships/image" Target="../media/image47.png"/><Relationship Id="rId21" Type="http://schemas.openxmlformats.org/officeDocument/2006/relationships/hyperlink" Target="#CAPEX!A1"/><Relationship Id="rId34" Type="http://schemas.openxmlformats.org/officeDocument/2006/relationships/image" Target="../media/image44.png"/><Relationship Id="rId42" Type="http://schemas.openxmlformats.org/officeDocument/2006/relationships/image" Target="../media/image50.png"/><Relationship Id="rId7" Type="http://schemas.openxmlformats.org/officeDocument/2006/relationships/hyperlink" Target="#'INDICADORES DEL PROYECTO'!A1"/><Relationship Id="rId2" Type="http://schemas.openxmlformats.org/officeDocument/2006/relationships/image" Target="../media/image36.png"/><Relationship Id="rId16" Type="http://schemas.openxmlformats.org/officeDocument/2006/relationships/image" Target="../media/image28.png"/><Relationship Id="rId29" Type="http://schemas.openxmlformats.org/officeDocument/2006/relationships/hyperlink" Target="#'PROYECCIONES MACROECON&#211;MICAS'!A1"/><Relationship Id="rId1" Type="http://schemas.openxmlformats.org/officeDocument/2006/relationships/hyperlink" Target="#INSTRUCCIONES!A1"/><Relationship Id="rId6" Type="http://schemas.openxmlformats.org/officeDocument/2006/relationships/image" Target="../media/image38.png"/><Relationship Id="rId11" Type="http://schemas.openxmlformats.org/officeDocument/2006/relationships/hyperlink" Target="#CAPITAL!A1"/><Relationship Id="rId24" Type="http://schemas.openxmlformats.org/officeDocument/2006/relationships/image" Target="../media/image41.png"/><Relationship Id="rId32" Type="http://schemas.openxmlformats.org/officeDocument/2006/relationships/image" Target="../media/image43.png"/><Relationship Id="rId37" Type="http://schemas.openxmlformats.org/officeDocument/2006/relationships/hyperlink" Target="#'ESTADO SITUACI&#211;N FINANCIERA'!A1"/><Relationship Id="rId40" Type="http://schemas.openxmlformats.org/officeDocument/2006/relationships/image" Target="../media/image48.png"/><Relationship Id="rId45" Type="http://schemas.openxmlformats.org/officeDocument/2006/relationships/image" Target="../media/image53.png"/><Relationship Id="rId5" Type="http://schemas.openxmlformats.org/officeDocument/2006/relationships/hyperlink" Target="#'PUNTO DE EQUILIBRIO'!A1"/><Relationship Id="rId15" Type="http://schemas.openxmlformats.org/officeDocument/2006/relationships/hyperlink" Target="#ECON&#211;MICAS!A1"/><Relationship Id="rId23" Type="http://schemas.openxmlformats.org/officeDocument/2006/relationships/hyperlink" Target="#'FINANCIACI&#211;N PARA MOSTRAR'!A1"/><Relationship Id="rId28" Type="http://schemas.openxmlformats.org/officeDocument/2006/relationships/image" Target="../media/image42.png"/><Relationship Id="rId36" Type="http://schemas.openxmlformats.org/officeDocument/2006/relationships/image" Target="../media/image45.png"/><Relationship Id="rId10" Type="http://schemas.openxmlformats.org/officeDocument/2006/relationships/image" Target="../media/image29.png"/><Relationship Id="rId19" Type="http://schemas.openxmlformats.org/officeDocument/2006/relationships/hyperlink" Target="#'OTRAS ACTIVIDADES ECON&#211;MICAS'!A1"/><Relationship Id="rId31" Type="http://schemas.openxmlformats.org/officeDocument/2006/relationships/hyperlink" Target="#'MANO DE OBRA'!A1"/><Relationship Id="rId44" Type="http://schemas.openxmlformats.org/officeDocument/2006/relationships/image" Target="../media/image52.png"/><Relationship Id="rId4" Type="http://schemas.openxmlformats.org/officeDocument/2006/relationships/image" Target="../media/image37.png"/><Relationship Id="rId9" Type="http://schemas.openxmlformats.org/officeDocument/2006/relationships/hyperlink" Target="#'ESTRUCTURA JUR&#205;DICA'!A1"/><Relationship Id="rId14" Type="http://schemas.openxmlformats.org/officeDocument/2006/relationships/image" Target="../media/image40.png"/><Relationship Id="rId22" Type="http://schemas.openxmlformats.org/officeDocument/2006/relationships/image" Target="../media/image13.png"/><Relationship Id="rId27" Type="http://schemas.openxmlformats.org/officeDocument/2006/relationships/hyperlink" Target="#'ACTIVOS FIJOS E INTANGIBLES'!A1"/><Relationship Id="rId30" Type="http://schemas.openxmlformats.org/officeDocument/2006/relationships/image" Target="../media/image11.png"/><Relationship Id="rId35" Type="http://schemas.openxmlformats.org/officeDocument/2006/relationships/hyperlink" Target="#'PRESUPUESTO DE EFECTIVO'!A1"/><Relationship Id="rId43" Type="http://schemas.openxmlformats.org/officeDocument/2006/relationships/image" Target="../media/image51.png"/><Relationship Id="rId8" Type="http://schemas.openxmlformats.org/officeDocument/2006/relationships/image" Target="../media/image39.png"/><Relationship Id="rId3" Type="http://schemas.openxmlformats.org/officeDocument/2006/relationships/hyperlink" Target="#DATOS!A1"/><Relationship Id="rId12" Type="http://schemas.openxmlformats.org/officeDocument/2006/relationships/image" Target="../media/image14.png"/><Relationship Id="rId17" Type="http://schemas.openxmlformats.org/officeDocument/2006/relationships/hyperlink" Target="#CAPACITACI&#211;N!A1"/><Relationship Id="rId25" Type="http://schemas.openxmlformats.org/officeDocument/2006/relationships/hyperlink" Target="#'AOM Y OPEX'!A1"/><Relationship Id="rId33" Type="http://schemas.openxmlformats.org/officeDocument/2006/relationships/hyperlink" Target="#'ESTADO DE RESULTADOS'!A1"/><Relationship Id="rId38" Type="http://schemas.openxmlformats.org/officeDocument/2006/relationships/image" Target="../media/image46.png"/><Relationship Id="rId20" Type="http://schemas.openxmlformats.org/officeDocument/2006/relationships/image" Target="../media/image32.png"/><Relationship Id="rId41" Type="http://schemas.openxmlformats.org/officeDocument/2006/relationships/image" Target="../media/image49.png"/></Relationships>
</file>

<file path=xl/drawings/_rels/drawing11.xml.rels><?xml version="1.0" encoding="UTF-8" standalone="yes"?>
<Relationships xmlns="http://schemas.openxmlformats.org/package/2006/relationships"><Relationship Id="rId1" Type="http://schemas.openxmlformats.org/officeDocument/2006/relationships/hyperlink" Target="#MEN&#218;!A1"/></Relationships>
</file>

<file path=xl/drawings/_rels/drawing1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EN&#218;!A1"/></Relationships>
</file>

<file path=xl/drawings/_rels/drawing13.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MEN&#218;!A1"/></Relationships>
</file>

<file path=xl/drawings/_rels/drawing16.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MEN&#218;!A1"/><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4" Type="http://schemas.openxmlformats.org/officeDocument/2006/relationships/hyperlink" Target="#MEN&#218;!A1"/></Relationships>
</file>

<file path=xl/drawings/_rels/drawing18.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 Id="rId6" Type="http://schemas.openxmlformats.org/officeDocument/2006/relationships/hyperlink" Target="#MEN&#218;!A1"/><Relationship Id="rId5" Type="http://schemas.openxmlformats.org/officeDocument/2006/relationships/chart" Target="../charts/chart14.xml"/><Relationship Id="rId4" Type="http://schemas.openxmlformats.org/officeDocument/2006/relationships/image" Target="../media/image60.png"/></Relationships>
</file>

<file path=xl/drawings/_rels/drawing19.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7.pn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hyperlink" Target="#MEN&#218;!A1"/><Relationship Id="rId4" Type="http://schemas.openxmlformats.org/officeDocument/2006/relationships/image" Target="../media/image18.png"/><Relationship Id="rId9"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1.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chart" Target="../charts/chart1.xml"/><Relationship Id="rId1" Type="http://schemas.openxmlformats.org/officeDocument/2006/relationships/image" Target="../media/image23.png"/><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chart" Target="../charts/chart5.xml"/><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7.png"/><Relationship Id="rId9" Type="http://schemas.openxmlformats.org/officeDocument/2006/relationships/hyperlink" Target="#MEN&#218;!A1"/></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3.png"/><Relationship Id="rId6" Type="http://schemas.openxmlformats.org/officeDocument/2006/relationships/hyperlink" Target="#MEN&#218;!A1"/><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1.png"/><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35.png"/><Relationship Id="rId2" Type="http://schemas.openxmlformats.org/officeDocument/2006/relationships/hyperlink" Target="#MEN&#218;!A1"/><Relationship Id="rId1" Type="http://schemas.openxmlformats.org/officeDocument/2006/relationships/chart" Target="../charts/chart8.xml"/><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6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editAs="oneCell">
    <xdr:from>
      <xdr:col>2</xdr:col>
      <xdr:colOff>609600</xdr:colOff>
      <xdr:row>9</xdr:row>
      <xdr:rowOff>30480</xdr:rowOff>
    </xdr:from>
    <xdr:to>
      <xdr:col>2</xdr:col>
      <xdr:colOff>4297680</xdr:colOff>
      <xdr:row>23</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418320" y="1554480"/>
          <a:ext cx="3688080" cy="3688080"/>
        </a:xfrm>
        <a:prstGeom prst="rect">
          <a:avLst/>
        </a:prstGeom>
        <a:solidFill>
          <a:schemeClr val="bg1"/>
        </a:solidFill>
        <a:ln w="38100">
          <a:solidFill>
            <a:sysClr val="windowText" lastClr="000000"/>
          </a:solidFill>
        </a:ln>
      </xdr:spPr>
    </xdr:pic>
    <xdr:clientData/>
  </xdr:twoCellAnchor>
  <xdr:twoCellAnchor editAs="oneCell">
    <xdr:from>
      <xdr:col>2</xdr:col>
      <xdr:colOff>640080</xdr:colOff>
      <xdr:row>26</xdr:row>
      <xdr:rowOff>0</xdr:rowOff>
    </xdr:from>
    <xdr:to>
      <xdr:col>2</xdr:col>
      <xdr:colOff>4330080</xdr:colOff>
      <xdr:row>39</xdr:row>
      <xdr:rowOff>177180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448800" y="6187440"/>
          <a:ext cx="3690000" cy="3690000"/>
        </a:xfrm>
        <a:prstGeom prst="rect">
          <a:avLst/>
        </a:prstGeom>
        <a:solidFill>
          <a:schemeClr val="bg1"/>
        </a:solidFill>
        <a:ln w="38100">
          <a:solidFill>
            <a:sysClr val="windowText" lastClr="000000"/>
          </a:solidFill>
        </a:ln>
      </xdr:spPr>
    </xdr:pic>
    <xdr:clientData/>
  </xdr:twoCellAnchor>
  <xdr:twoCellAnchor editAs="oneCell">
    <xdr:from>
      <xdr:col>2</xdr:col>
      <xdr:colOff>662940</xdr:colOff>
      <xdr:row>43</xdr:row>
      <xdr:rowOff>68580</xdr:rowOff>
    </xdr:from>
    <xdr:to>
      <xdr:col>2</xdr:col>
      <xdr:colOff>4352940</xdr:colOff>
      <xdr:row>50</xdr:row>
      <xdr:rowOff>1068720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685020" y="10576560"/>
          <a:ext cx="3690000" cy="3690000"/>
        </a:xfrm>
        <a:prstGeom prst="rect">
          <a:avLst/>
        </a:prstGeom>
        <a:solidFill>
          <a:schemeClr val="bg1"/>
        </a:solidFill>
        <a:ln w="38100">
          <a:solidFill>
            <a:schemeClr val="tx1"/>
          </a:solidFill>
        </a:ln>
      </xdr:spPr>
    </xdr:pic>
    <xdr:clientData/>
  </xdr:twoCellAnchor>
  <xdr:twoCellAnchor editAs="oneCell">
    <xdr:from>
      <xdr:col>2</xdr:col>
      <xdr:colOff>693420</xdr:colOff>
      <xdr:row>51</xdr:row>
      <xdr:rowOff>243840</xdr:rowOff>
    </xdr:from>
    <xdr:to>
      <xdr:col>2</xdr:col>
      <xdr:colOff>4383420</xdr:colOff>
      <xdr:row>59</xdr:row>
      <xdr:rowOff>15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87000" y="15323820"/>
          <a:ext cx="3690000" cy="3690000"/>
        </a:xfrm>
        <a:prstGeom prst="rect">
          <a:avLst/>
        </a:prstGeom>
        <a:solidFill>
          <a:schemeClr val="bg1"/>
        </a:solidFill>
        <a:ln w="38100">
          <a:solidFill>
            <a:sysClr val="windowText" lastClr="000000"/>
          </a:solidFill>
        </a:ln>
      </xdr:spPr>
    </xdr:pic>
    <xdr:clientData/>
  </xdr:twoCellAnchor>
  <xdr:twoCellAnchor editAs="oneCell">
    <xdr:from>
      <xdr:col>2</xdr:col>
      <xdr:colOff>701040</xdr:colOff>
      <xdr:row>60</xdr:row>
      <xdr:rowOff>236220</xdr:rowOff>
    </xdr:from>
    <xdr:to>
      <xdr:col>2</xdr:col>
      <xdr:colOff>4391040</xdr:colOff>
      <xdr:row>67</xdr:row>
      <xdr:rowOff>161940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0294620" y="19613880"/>
          <a:ext cx="3690000" cy="3690000"/>
        </a:xfrm>
        <a:prstGeom prst="rect">
          <a:avLst/>
        </a:prstGeom>
        <a:solidFill>
          <a:schemeClr val="bg1"/>
        </a:solidFill>
        <a:ln w="38100">
          <a:solidFill>
            <a:schemeClr val="tx1"/>
          </a:solidFill>
        </a:ln>
      </xdr:spPr>
    </xdr:pic>
    <xdr:clientData/>
  </xdr:twoCellAnchor>
  <xdr:twoCellAnchor editAs="oneCell">
    <xdr:from>
      <xdr:col>2</xdr:col>
      <xdr:colOff>662940</xdr:colOff>
      <xdr:row>69</xdr:row>
      <xdr:rowOff>91440</xdr:rowOff>
    </xdr:from>
    <xdr:to>
      <xdr:col>2</xdr:col>
      <xdr:colOff>4427220</xdr:colOff>
      <xdr:row>79</xdr:row>
      <xdr:rowOff>40005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0256520" y="23774400"/>
          <a:ext cx="3764280" cy="2644140"/>
        </a:xfrm>
        <a:prstGeom prst="rect">
          <a:avLst/>
        </a:prstGeom>
        <a:solidFill>
          <a:schemeClr val="bg1"/>
        </a:solidFill>
        <a:ln w="38100">
          <a:solidFill>
            <a:sysClr val="windowText" lastClr="000000"/>
          </a:solidFill>
        </a:ln>
      </xdr:spPr>
    </xdr:pic>
    <xdr:clientData/>
  </xdr:twoCellAnchor>
  <xdr:twoCellAnchor editAs="oneCell">
    <xdr:from>
      <xdr:col>2</xdr:col>
      <xdr:colOff>777240</xdr:colOff>
      <xdr:row>90</xdr:row>
      <xdr:rowOff>160020</xdr:rowOff>
    </xdr:from>
    <xdr:to>
      <xdr:col>2</xdr:col>
      <xdr:colOff>4467240</xdr:colOff>
      <xdr:row>104</xdr:row>
      <xdr:rowOff>40020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1841480" y="29268420"/>
          <a:ext cx="3690000" cy="3690000"/>
        </a:xfrm>
        <a:prstGeom prst="rect">
          <a:avLst/>
        </a:prstGeom>
        <a:solidFill>
          <a:schemeClr val="bg1"/>
        </a:solidFill>
        <a:ln w="38100">
          <a:solidFill>
            <a:schemeClr val="tx1"/>
          </a:solidFill>
        </a:ln>
      </xdr:spPr>
    </xdr:pic>
    <xdr:clientData/>
  </xdr:twoCellAnchor>
  <xdr:twoCellAnchor editAs="oneCell">
    <xdr:from>
      <xdr:col>2</xdr:col>
      <xdr:colOff>807720</xdr:colOff>
      <xdr:row>108</xdr:row>
      <xdr:rowOff>259080</xdr:rowOff>
    </xdr:from>
    <xdr:to>
      <xdr:col>2</xdr:col>
      <xdr:colOff>4497720</xdr:colOff>
      <xdr:row>122</xdr:row>
      <xdr:rowOff>154320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1871960" y="33726120"/>
          <a:ext cx="3690000" cy="3690000"/>
        </a:xfrm>
        <a:prstGeom prst="rect">
          <a:avLst/>
        </a:prstGeom>
        <a:solidFill>
          <a:schemeClr val="bg1"/>
        </a:solidFill>
        <a:ln w="38100">
          <a:solidFill>
            <a:schemeClr val="tx1"/>
          </a:solidFill>
        </a:ln>
      </xdr:spPr>
    </xdr:pic>
    <xdr:clientData/>
  </xdr:twoCellAnchor>
  <xdr:twoCellAnchor editAs="oneCell">
    <xdr:from>
      <xdr:col>2</xdr:col>
      <xdr:colOff>822960</xdr:colOff>
      <xdr:row>125</xdr:row>
      <xdr:rowOff>0</xdr:rowOff>
    </xdr:from>
    <xdr:to>
      <xdr:col>2</xdr:col>
      <xdr:colOff>4512960</xdr:colOff>
      <xdr:row>138</xdr:row>
      <xdr:rowOff>169560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1887200" y="38069520"/>
          <a:ext cx="3690000" cy="3690000"/>
        </a:xfrm>
        <a:prstGeom prst="rect">
          <a:avLst/>
        </a:prstGeom>
        <a:solidFill>
          <a:schemeClr val="bg1"/>
        </a:solidFill>
        <a:ln w="38100">
          <a:solidFill>
            <a:schemeClr val="tx1"/>
          </a:solidFill>
        </a:ln>
      </xdr:spPr>
    </xdr:pic>
    <xdr:clientData/>
  </xdr:twoCellAnchor>
  <xdr:twoCellAnchor editAs="oneCell">
    <xdr:from>
      <xdr:col>2</xdr:col>
      <xdr:colOff>857250</xdr:colOff>
      <xdr:row>160</xdr:row>
      <xdr:rowOff>142875</xdr:rowOff>
    </xdr:from>
    <xdr:to>
      <xdr:col>2</xdr:col>
      <xdr:colOff>4547250</xdr:colOff>
      <xdr:row>174</xdr:row>
      <xdr:rowOff>22875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1944350" y="47901225"/>
          <a:ext cx="3690000" cy="3690000"/>
        </a:xfrm>
        <a:prstGeom prst="rect">
          <a:avLst/>
        </a:prstGeom>
        <a:solidFill>
          <a:schemeClr val="bg1"/>
        </a:solidFill>
        <a:ln w="38100">
          <a:solidFill>
            <a:schemeClr val="tx1"/>
          </a:solidFill>
        </a:ln>
      </xdr:spPr>
    </xdr:pic>
    <xdr:clientData/>
  </xdr:twoCellAnchor>
  <xdr:twoCellAnchor editAs="oneCell">
    <xdr:from>
      <xdr:col>2</xdr:col>
      <xdr:colOff>914400</xdr:colOff>
      <xdr:row>175</xdr:row>
      <xdr:rowOff>219075</xdr:rowOff>
    </xdr:from>
    <xdr:to>
      <xdr:col>2</xdr:col>
      <xdr:colOff>4604400</xdr:colOff>
      <xdr:row>189</xdr:row>
      <xdr:rowOff>108600</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12001500" y="52063650"/>
          <a:ext cx="3690000" cy="3690000"/>
        </a:xfrm>
        <a:prstGeom prst="rect">
          <a:avLst/>
        </a:prstGeom>
        <a:solidFill>
          <a:schemeClr val="bg1"/>
        </a:solidFill>
        <a:ln w="38100">
          <a:solidFill>
            <a:schemeClr val="tx1"/>
          </a:solidFill>
        </a:ln>
      </xdr:spPr>
    </xdr:pic>
    <xdr:clientData/>
  </xdr:twoCellAnchor>
  <xdr:twoCellAnchor editAs="oneCell">
    <xdr:from>
      <xdr:col>2</xdr:col>
      <xdr:colOff>952500</xdr:colOff>
      <xdr:row>190</xdr:row>
      <xdr:rowOff>257175</xdr:rowOff>
    </xdr:from>
    <xdr:to>
      <xdr:col>2</xdr:col>
      <xdr:colOff>4642500</xdr:colOff>
      <xdr:row>206</xdr:row>
      <xdr:rowOff>137175</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12496800" y="56168925"/>
          <a:ext cx="3690000" cy="3690000"/>
        </a:xfrm>
        <a:prstGeom prst="rect">
          <a:avLst/>
        </a:prstGeom>
        <a:solidFill>
          <a:schemeClr val="bg1"/>
        </a:solidFill>
        <a:ln w="38100">
          <a:solidFill>
            <a:schemeClr val="tx1"/>
          </a:solidFill>
        </a:ln>
      </xdr:spPr>
    </xdr:pic>
    <xdr:clientData/>
  </xdr:twoCellAnchor>
  <xdr:twoCellAnchor editAs="oneCell">
    <xdr:from>
      <xdr:col>2</xdr:col>
      <xdr:colOff>990600</xdr:colOff>
      <xdr:row>208</xdr:row>
      <xdr:rowOff>247650</xdr:rowOff>
    </xdr:from>
    <xdr:to>
      <xdr:col>2</xdr:col>
      <xdr:colOff>4680600</xdr:colOff>
      <xdr:row>318</xdr:row>
      <xdr:rowOff>118125</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13258800" y="60426600"/>
          <a:ext cx="3690000" cy="3690000"/>
        </a:xfrm>
        <a:prstGeom prst="rect">
          <a:avLst/>
        </a:prstGeom>
        <a:solidFill>
          <a:schemeClr val="bg1"/>
        </a:solidFill>
        <a:ln w="38100">
          <a:solidFill>
            <a:schemeClr val="tx1"/>
          </a:solidFill>
        </a:ln>
      </xdr:spPr>
    </xdr:pic>
    <xdr:clientData/>
  </xdr:twoCellAnchor>
  <xdr:twoCellAnchor editAs="oneCell">
    <xdr:from>
      <xdr:col>2</xdr:col>
      <xdr:colOff>1000125</xdr:colOff>
      <xdr:row>374</xdr:row>
      <xdr:rowOff>228599</xdr:rowOff>
    </xdr:from>
    <xdr:to>
      <xdr:col>2</xdr:col>
      <xdr:colOff>4693106</xdr:colOff>
      <xdr:row>388</xdr:row>
      <xdr:rowOff>118124</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13268325" y="64789049"/>
          <a:ext cx="3692981" cy="3690000"/>
        </a:xfrm>
        <a:prstGeom prst="rect">
          <a:avLst/>
        </a:prstGeom>
        <a:solidFill>
          <a:schemeClr val="bg1"/>
        </a:solidFill>
        <a:ln w="38100">
          <a:solidFill>
            <a:schemeClr val="tx1"/>
          </a:solidFill>
        </a:ln>
      </xdr:spPr>
    </xdr:pic>
    <xdr:clientData/>
  </xdr:twoCellAnchor>
  <xdr:twoCellAnchor>
    <xdr:from>
      <xdr:col>1</xdr:col>
      <xdr:colOff>2724150</xdr:colOff>
      <xdr:row>484</xdr:row>
      <xdr:rowOff>152400</xdr:rowOff>
    </xdr:from>
    <xdr:to>
      <xdr:col>1</xdr:col>
      <xdr:colOff>3912870</xdr:colOff>
      <xdr:row>485</xdr:row>
      <xdr:rowOff>236220</xdr:rowOff>
    </xdr:to>
    <xdr:sp macro="" textlink="">
      <xdr:nvSpPr>
        <xdr:cNvPr id="17" name="Rectángulo: esquinas redondeadas 16">
          <a:hlinkClick xmlns:r="http://schemas.openxmlformats.org/officeDocument/2006/relationships" r:id="rId15" tooltip="MENÚ"/>
          <a:extLst>
            <a:ext uri="{FF2B5EF4-FFF2-40B4-BE49-F238E27FC236}">
              <a16:creationId xmlns:a16="http://schemas.microsoft.com/office/drawing/2014/main" id="{00000000-0008-0000-0000-000011000000}"/>
            </a:ext>
          </a:extLst>
        </xdr:cNvPr>
        <xdr:cNvSpPr/>
      </xdr:nvSpPr>
      <xdr:spPr>
        <a:xfrm>
          <a:off x="8915400" y="8627745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188784</xdr:colOff>
      <xdr:row>3</xdr:row>
      <xdr:rowOff>85812</xdr:rowOff>
    </xdr:from>
    <xdr:to>
      <xdr:col>23</xdr:col>
      <xdr:colOff>592786</xdr:colOff>
      <xdr:row>41</xdr:row>
      <xdr:rowOff>23253</xdr:rowOff>
    </xdr:to>
    <xdr:sp macro="" textlink="">
      <xdr:nvSpPr>
        <xdr:cNvPr id="26" name="Rectángulo: esquinas redondeadas 25">
          <a:extLst>
            <a:ext uri="{FF2B5EF4-FFF2-40B4-BE49-F238E27FC236}">
              <a16:creationId xmlns:a16="http://schemas.microsoft.com/office/drawing/2014/main" id="{7D8F57C5-57D8-4DEA-A553-6DD90D8D9000}"/>
            </a:ext>
          </a:extLst>
        </xdr:cNvPr>
        <xdr:cNvSpPr/>
      </xdr:nvSpPr>
      <xdr:spPr>
        <a:xfrm>
          <a:off x="188784" y="642658"/>
          <a:ext cx="17930002" cy="6990826"/>
        </a:xfrm>
        <a:prstGeom prst="roundRect">
          <a:avLst>
            <a:gd name="adj" fmla="val 2381"/>
          </a:avLst>
        </a:prstGeom>
        <a:solidFill>
          <a:schemeClr val="accent1">
            <a:lumMod val="20000"/>
            <a:lumOff val="80000"/>
          </a:schemeClr>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200" b="1">
              <a:solidFill>
                <a:schemeClr val="tx1"/>
              </a:solidFill>
              <a:latin typeface="Arial Narrow" panose="020B0606020202030204" pitchFamily="34" charset="0"/>
            </a:rPr>
            <a:t>&lt;&lt;&lt;</a:t>
          </a:r>
        </a:p>
      </xdr:txBody>
    </xdr:sp>
    <xdr:clientData/>
  </xdr:twoCellAnchor>
  <xdr:twoCellAnchor>
    <xdr:from>
      <xdr:col>4</xdr:col>
      <xdr:colOff>4790</xdr:colOff>
      <xdr:row>37</xdr:row>
      <xdr:rowOff>47767</xdr:rowOff>
    </xdr:from>
    <xdr:to>
      <xdr:col>20</xdr:col>
      <xdr:colOff>8037</xdr:colOff>
      <xdr:row>40</xdr:row>
      <xdr:rowOff>89023</xdr:rowOff>
    </xdr:to>
    <xdr:sp macro="" textlink="">
      <xdr:nvSpPr>
        <xdr:cNvPr id="32" name="Rectángulo: esquinas redondeadas 31">
          <a:extLst>
            <a:ext uri="{FF2B5EF4-FFF2-40B4-BE49-F238E27FC236}">
              <a16:creationId xmlns:a16="http://schemas.microsoft.com/office/drawing/2014/main" id="{A016E46E-053F-4C00-B448-2534AC7F8C20}"/>
            </a:ext>
          </a:extLst>
        </xdr:cNvPr>
        <xdr:cNvSpPr/>
      </xdr:nvSpPr>
      <xdr:spPr>
        <a:xfrm>
          <a:off x="3052790" y="6915536"/>
          <a:ext cx="12195247" cy="598102"/>
        </a:xfrm>
        <a:prstGeom prst="roundRect">
          <a:avLst>
            <a:gd name="adj" fmla="val 15482"/>
          </a:avLst>
        </a:prstGeom>
        <a:solidFill>
          <a:srgbClr val="F3F6FB"/>
        </a:solidFill>
        <a:ln w="3175">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sz="1200" b="1">
            <a:solidFill>
              <a:schemeClr val="tx1"/>
            </a:solidFill>
            <a:latin typeface="Arial Narrow" panose="020B0606020202030204" pitchFamily="34" charset="0"/>
          </a:endParaRPr>
        </a:p>
      </xdr:txBody>
    </xdr:sp>
    <xdr:clientData/>
  </xdr:twoCellAnchor>
  <xdr:twoCellAnchor>
    <xdr:from>
      <xdr:col>0</xdr:col>
      <xdr:colOff>279263</xdr:colOff>
      <xdr:row>3</xdr:row>
      <xdr:rowOff>160065</xdr:rowOff>
    </xdr:from>
    <xdr:to>
      <xdr:col>23</xdr:col>
      <xdr:colOff>483813</xdr:colOff>
      <xdr:row>36</xdr:row>
      <xdr:rowOff>121732</xdr:rowOff>
    </xdr:to>
    <xdr:sp macro="" textlink="">
      <xdr:nvSpPr>
        <xdr:cNvPr id="33" name="Rectángulo: esquinas redondeadas 32">
          <a:extLst>
            <a:ext uri="{FF2B5EF4-FFF2-40B4-BE49-F238E27FC236}">
              <a16:creationId xmlns:a16="http://schemas.microsoft.com/office/drawing/2014/main" id="{FF1A3F37-B701-4C7F-A191-3DA98AC5DE7E}"/>
            </a:ext>
          </a:extLst>
        </xdr:cNvPr>
        <xdr:cNvSpPr/>
      </xdr:nvSpPr>
      <xdr:spPr>
        <a:xfrm>
          <a:off x="279263" y="725612"/>
          <a:ext cx="17776191" cy="6182683"/>
        </a:xfrm>
        <a:prstGeom prst="roundRect">
          <a:avLst>
            <a:gd name="adj" fmla="val 1308"/>
          </a:avLst>
        </a:prstGeom>
        <a:solidFill>
          <a:schemeClr val="accent1">
            <a:lumMod val="20000"/>
            <a:lumOff val="80000"/>
          </a:schemeClr>
        </a:solidFill>
        <a:ln w="3175">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sz="1200" b="1">
            <a:solidFill>
              <a:schemeClr val="tx1"/>
            </a:solidFill>
            <a:latin typeface="Arial Narrow" panose="020B0606020202030204" pitchFamily="34" charset="0"/>
          </a:endParaRPr>
        </a:p>
      </xdr:txBody>
    </xdr:sp>
    <xdr:clientData/>
  </xdr:twoCellAnchor>
  <xdr:twoCellAnchor>
    <xdr:from>
      <xdr:col>9</xdr:col>
      <xdr:colOff>557305</xdr:colOff>
      <xdr:row>5</xdr:row>
      <xdr:rowOff>38653</xdr:rowOff>
    </xdr:from>
    <xdr:to>
      <xdr:col>11</xdr:col>
      <xdr:colOff>653305</xdr:colOff>
      <xdr:row>10</xdr:row>
      <xdr:rowOff>38863</xdr:rowOff>
    </xdr:to>
    <xdr:grpSp>
      <xdr:nvGrpSpPr>
        <xdr:cNvPr id="74" name="Grupo 73">
          <a:hlinkClick xmlns:r="http://schemas.openxmlformats.org/officeDocument/2006/relationships" r:id="rId1" tooltip="INSTRUCCIONES"/>
          <a:extLst>
            <a:ext uri="{FF2B5EF4-FFF2-40B4-BE49-F238E27FC236}">
              <a16:creationId xmlns:a16="http://schemas.microsoft.com/office/drawing/2014/main" id="{00000000-0008-0000-0900-00004A000000}"/>
            </a:ext>
          </a:extLst>
        </xdr:cNvPr>
        <xdr:cNvGrpSpPr/>
      </xdr:nvGrpSpPr>
      <xdr:grpSpPr>
        <a:xfrm>
          <a:off x="7751481" y="972477"/>
          <a:ext cx="1694706" cy="934033"/>
          <a:chOff x="2005558" y="575"/>
          <a:chExt cx="1713289" cy="917811"/>
        </a:xfrm>
        <a:solidFill>
          <a:schemeClr val="bg1"/>
        </a:solidFill>
        <a:effectLst>
          <a:outerShdw blurRad="50800" dist="38100" dir="8100000" algn="tr" rotWithShape="0">
            <a:prstClr val="black">
              <a:alpha val="40000"/>
            </a:prstClr>
          </a:outerShdw>
        </a:effectLst>
      </xdr:grpSpPr>
      <xdr:sp macro="" textlink="">
        <xdr:nvSpPr>
          <xdr:cNvPr id="3" name="Rectángulo: esquinas redondeadas 2">
            <a:extLst>
              <a:ext uri="{FF2B5EF4-FFF2-40B4-BE49-F238E27FC236}">
                <a16:creationId xmlns:a16="http://schemas.microsoft.com/office/drawing/2014/main" id="{00000000-0008-0000-0900-000003000000}"/>
              </a:ext>
            </a:extLst>
          </xdr:cNvPr>
          <xdr:cNvSpPr/>
        </xdr:nvSpPr>
        <xdr:spPr>
          <a:xfrm>
            <a:off x="2005558" y="575"/>
            <a:ext cx="1713289" cy="917811"/>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100" b="1" u="none">
                <a:solidFill>
                  <a:schemeClr val="tx1"/>
                </a:solidFill>
                <a:latin typeface="Sora" pitchFamily="2" charset="0"/>
                <a:cs typeface="Sora" pitchFamily="2" charset="0"/>
              </a:rPr>
              <a:t>INSTRUCCIONES</a:t>
            </a:r>
            <a:endParaRPr lang="es-CO" sz="1000" b="1" u="none">
              <a:solidFill>
                <a:schemeClr val="tx1"/>
              </a:solidFill>
              <a:latin typeface="Sora" pitchFamily="2" charset="0"/>
              <a:cs typeface="Sora" pitchFamily="2" charset="0"/>
            </a:endParaRPr>
          </a:p>
        </xdr:txBody>
      </xdr:sp>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2605781" y="110321"/>
            <a:ext cx="540000" cy="540000"/>
          </a:xfrm>
          <a:prstGeom prst="rect">
            <a:avLst/>
          </a:prstGeom>
          <a:grpFill/>
          <a:ln>
            <a:noFill/>
          </a:ln>
        </xdr:spPr>
      </xdr:pic>
    </xdr:grpSp>
    <xdr:clientData/>
  </xdr:twoCellAnchor>
  <xdr:twoCellAnchor>
    <xdr:from>
      <xdr:col>12</xdr:col>
      <xdr:colOff>128266</xdr:colOff>
      <xdr:row>5</xdr:row>
      <xdr:rowOff>38653</xdr:rowOff>
    </xdr:from>
    <xdr:to>
      <xdr:col>14</xdr:col>
      <xdr:colOff>224266</xdr:colOff>
      <xdr:row>10</xdr:row>
      <xdr:rowOff>38863</xdr:rowOff>
    </xdr:to>
    <xdr:grpSp>
      <xdr:nvGrpSpPr>
        <xdr:cNvPr id="69" name="Grupo 68">
          <a:hlinkClick xmlns:r="http://schemas.openxmlformats.org/officeDocument/2006/relationships" r:id="rId3" tooltip="DATOS"/>
          <a:extLst>
            <a:ext uri="{FF2B5EF4-FFF2-40B4-BE49-F238E27FC236}">
              <a16:creationId xmlns:a16="http://schemas.microsoft.com/office/drawing/2014/main" id="{00000000-0008-0000-0900-000045000000}"/>
            </a:ext>
          </a:extLst>
        </xdr:cNvPr>
        <xdr:cNvGrpSpPr/>
      </xdr:nvGrpSpPr>
      <xdr:grpSpPr>
        <a:xfrm>
          <a:off x="9720501" y="972477"/>
          <a:ext cx="1694706" cy="934033"/>
          <a:chOff x="3402296" y="575"/>
          <a:chExt cx="1651311" cy="917811"/>
        </a:xfrm>
        <a:solidFill>
          <a:schemeClr val="bg1"/>
        </a:solidFill>
        <a:effectLst>
          <a:outerShdw blurRad="50800" dist="38100" dir="8100000" algn="tr" rotWithShape="0">
            <a:prstClr val="black">
              <a:alpha val="40000"/>
            </a:prstClr>
          </a:outerShdw>
        </a:effectLst>
      </xdr:grpSpPr>
      <xdr:sp macro="" textlink="">
        <xdr:nvSpPr>
          <xdr:cNvPr id="5" name="Rectángulo: esquinas redondeadas 4">
            <a:extLst>
              <a:ext uri="{FF2B5EF4-FFF2-40B4-BE49-F238E27FC236}">
                <a16:creationId xmlns:a16="http://schemas.microsoft.com/office/drawing/2014/main" id="{00000000-0008-0000-0900-000005000000}"/>
              </a:ext>
            </a:extLst>
          </xdr:cNvPr>
          <xdr:cNvSpPr/>
        </xdr:nvSpPr>
        <xdr:spPr>
          <a:xfrm>
            <a:off x="3402296" y="575"/>
            <a:ext cx="1651311" cy="917811"/>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100" b="1" u="none">
                <a:solidFill>
                  <a:schemeClr val="tx1"/>
                </a:solidFill>
                <a:latin typeface="Sora" pitchFamily="2" charset="0"/>
                <a:cs typeface="Sora" pitchFamily="2" charset="0"/>
              </a:rPr>
              <a:t>DATOS</a:t>
            </a:r>
            <a:endParaRPr lang="es-CO" sz="1000" b="1" u="none">
              <a:solidFill>
                <a:schemeClr val="tx1"/>
              </a:solidFill>
              <a:latin typeface="Sora" pitchFamily="2" charset="0"/>
              <a:cs typeface="Sora" pitchFamily="2" charset="0"/>
            </a:endParaRPr>
          </a:p>
        </xdr:txBody>
      </xdr:sp>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000378" y="120588"/>
            <a:ext cx="540000" cy="519466"/>
          </a:xfrm>
          <a:prstGeom prst="rect">
            <a:avLst/>
          </a:prstGeom>
          <a:grpFill/>
          <a:ln>
            <a:noFill/>
          </a:ln>
        </xdr:spPr>
      </xdr:pic>
    </xdr:grpSp>
    <xdr:clientData/>
  </xdr:twoCellAnchor>
  <xdr:twoCellAnchor>
    <xdr:from>
      <xdr:col>9</xdr:col>
      <xdr:colOff>28459</xdr:colOff>
      <xdr:row>30</xdr:row>
      <xdr:rowOff>29553</xdr:rowOff>
    </xdr:from>
    <xdr:to>
      <xdr:col>11</xdr:col>
      <xdr:colOff>653305</xdr:colOff>
      <xdr:row>35</xdr:row>
      <xdr:rowOff>181344</xdr:rowOff>
    </xdr:to>
    <xdr:grpSp>
      <xdr:nvGrpSpPr>
        <xdr:cNvPr id="73" name="Grupo 72">
          <a:hlinkClick xmlns:r="http://schemas.openxmlformats.org/officeDocument/2006/relationships" r:id="rId5" tooltip="PUNTO DE EQUILIBRIO"/>
          <a:extLst>
            <a:ext uri="{FF2B5EF4-FFF2-40B4-BE49-F238E27FC236}">
              <a16:creationId xmlns:a16="http://schemas.microsoft.com/office/drawing/2014/main" id="{00000000-0008-0000-0900-000049000000}"/>
            </a:ext>
          </a:extLst>
        </xdr:cNvPr>
        <xdr:cNvGrpSpPr/>
      </xdr:nvGrpSpPr>
      <xdr:grpSpPr>
        <a:xfrm>
          <a:off x="7222635" y="5632494"/>
          <a:ext cx="2223552" cy="1085615"/>
          <a:chOff x="2643632" y="3199920"/>
          <a:chExt cx="2206229" cy="1062731"/>
        </a:xfrm>
        <a:solidFill>
          <a:srgbClr val="FFCCCC"/>
        </a:solidFill>
        <a:effectLst>
          <a:outerShdw blurRad="50800" dist="38100" dir="8100000" algn="tr" rotWithShape="0">
            <a:prstClr val="black">
              <a:alpha val="40000"/>
            </a:prstClr>
          </a:outerShdw>
        </a:effectLst>
      </xdr:grpSpPr>
      <xdr:sp macro="" textlink="">
        <xdr:nvSpPr>
          <xdr:cNvPr id="18" name="Rectángulo: esquinas redondeadas 17">
            <a:extLst>
              <a:ext uri="{FF2B5EF4-FFF2-40B4-BE49-F238E27FC236}">
                <a16:creationId xmlns:a16="http://schemas.microsoft.com/office/drawing/2014/main" id="{00000000-0008-0000-0900-000012000000}"/>
              </a:ext>
            </a:extLst>
          </xdr:cNvPr>
          <xdr:cNvSpPr/>
        </xdr:nvSpPr>
        <xdr:spPr>
          <a:xfrm>
            <a:off x="2643632" y="3199920"/>
            <a:ext cx="2206229" cy="1062731"/>
          </a:xfrm>
          <a:prstGeom prst="roundRect">
            <a:avLst/>
          </a:prstGeom>
          <a:solidFill>
            <a:srgbClr val="FFCCCC"/>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Punto de equilibrio / viabilidad</a:t>
            </a:r>
          </a:p>
        </xdr:txBody>
      </xdr:sp>
      <xdr:pic>
        <xdr:nvPicPr>
          <xdr:cNvPr id="39" name="Imagen 3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6"/>
          <a:stretch>
            <a:fillRect/>
          </a:stretch>
        </xdr:blipFill>
        <xdr:spPr>
          <a:xfrm>
            <a:off x="3456512" y="3261303"/>
            <a:ext cx="540000" cy="540000"/>
          </a:xfrm>
          <a:prstGeom prst="rect">
            <a:avLst/>
          </a:prstGeom>
          <a:grpFill/>
          <a:ln>
            <a:noFill/>
          </a:ln>
        </xdr:spPr>
      </xdr:pic>
    </xdr:grpSp>
    <xdr:clientData/>
  </xdr:twoCellAnchor>
  <xdr:twoCellAnchor>
    <xdr:from>
      <xdr:col>12</xdr:col>
      <xdr:colOff>128266</xdr:colOff>
      <xdr:row>30</xdr:row>
      <xdr:rowOff>29553</xdr:rowOff>
    </xdr:from>
    <xdr:to>
      <xdr:col>15</xdr:col>
      <xdr:colOff>11558</xdr:colOff>
      <xdr:row>35</xdr:row>
      <xdr:rowOff>182946</xdr:rowOff>
    </xdr:to>
    <xdr:grpSp>
      <xdr:nvGrpSpPr>
        <xdr:cNvPr id="70" name="Grupo 69">
          <a:hlinkClick xmlns:r="http://schemas.openxmlformats.org/officeDocument/2006/relationships" r:id="rId7" tooltip="INDICADORES DEL PROYECTO"/>
          <a:extLst>
            <a:ext uri="{FF2B5EF4-FFF2-40B4-BE49-F238E27FC236}">
              <a16:creationId xmlns:a16="http://schemas.microsoft.com/office/drawing/2014/main" id="{00000000-0008-0000-0900-000046000000}"/>
            </a:ext>
          </a:extLst>
        </xdr:cNvPr>
        <xdr:cNvGrpSpPr/>
      </xdr:nvGrpSpPr>
      <xdr:grpSpPr>
        <a:xfrm>
          <a:off x="9720501" y="5632494"/>
          <a:ext cx="2281351" cy="1087217"/>
          <a:chOff x="2643632" y="4267748"/>
          <a:chExt cx="2219837" cy="1064133"/>
        </a:xfrm>
        <a:solidFill>
          <a:srgbClr val="FFCCCC"/>
        </a:solidFill>
        <a:effectLst>
          <a:outerShdw blurRad="50800" dist="38100" dir="8100000" algn="tr" rotWithShape="0">
            <a:prstClr val="black">
              <a:alpha val="40000"/>
            </a:prstClr>
          </a:outerShdw>
        </a:effectLst>
      </xdr:grpSpPr>
      <xdr:sp macro="" textlink="">
        <xdr:nvSpPr>
          <xdr:cNvPr id="22" name="Rectángulo: esquinas redondeadas 21">
            <a:extLst>
              <a:ext uri="{FF2B5EF4-FFF2-40B4-BE49-F238E27FC236}">
                <a16:creationId xmlns:a16="http://schemas.microsoft.com/office/drawing/2014/main" id="{00000000-0008-0000-0900-000016000000}"/>
              </a:ext>
            </a:extLst>
          </xdr:cNvPr>
          <xdr:cNvSpPr/>
        </xdr:nvSpPr>
        <xdr:spPr>
          <a:xfrm>
            <a:off x="2643632" y="4267748"/>
            <a:ext cx="2219837" cy="1064133"/>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Indicadores del proyecto</a:t>
            </a:r>
          </a:p>
        </xdr:txBody>
      </xdr:sp>
      <xdr:pic>
        <xdr:nvPicPr>
          <xdr:cNvPr id="43" name="Imagen 4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8"/>
          <a:stretch>
            <a:fillRect/>
          </a:stretch>
        </xdr:blipFill>
        <xdr:spPr>
          <a:xfrm>
            <a:off x="3479572" y="4332575"/>
            <a:ext cx="540000" cy="540000"/>
          </a:xfrm>
          <a:prstGeom prst="rect">
            <a:avLst/>
          </a:prstGeom>
          <a:grpFill/>
          <a:ln>
            <a:noFill/>
          </a:ln>
        </xdr:spPr>
      </xdr:pic>
    </xdr:grpSp>
    <xdr:clientData/>
  </xdr:twoCellAnchor>
  <xdr:twoCellAnchor>
    <xdr:from>
      <xdr:col>7</xdr:col>
      <xdr:colOff>604103</xdr:colOff>
      <xdr:row>0</xdr:row>
      <xdr:rowOff>0</xdr:rowOff>
    </xdr:from>
    <xdr:to>
      <xdr:col>16</xdr:col>
      <xdr:colOff>177467</xdr:colOff>
      <xdr:row>4</xdr:row>
      <xdr:rowOff>20284</xdr:rowOff>
    </xdr:to>
    <xdr:sp macro="" textlink="">
      <xdr:nvSpPr>
        <xdr:cNvPr id="76" name="Rectángulo: esquinas redondeadas 75">
          <a:extLst>
            <a:ext uri="{FF2B5EF4-FFF2-40B4-BE49-F238E27FC236}">
              <a16:creationId xmlns:a16="http://schemas.microsoft.com/office/drawing/2014/main" id="{E0FF612D-68C6-4884-89BA-7891D4F931DB}"/>
            </a:ext>
          </a:extLst>
        </xdr:cNvPr>
        <xdr:cNvSpPr/>
      </xdr:nvSpPr>
      <xdr:spPr>
        <a:xfrm>
          <a:off x="5890049" y="0"/>
          <a:ext cx="6369580" cy="775419"/>
        </a:xfrm>
        <a:prstGeom prst="roundRect">
          <a:avLst/>
        </a:prstGeom>
        <a:solidFill>
          <a:schemeClr val="bg1"/>
        </a:solidFill>
        <a:ln w="28575">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800" b="1" cap="all">
              <a:solidFill>
                <a:schemeClr val="tx1"/>
              </a:solidFill>
              <a:latin typeface="Sora" pitchFamily="2" charset="0"/>
              <a:cs typeface="Sora" pitchFamily="2" charset="0"/>
            </a:rPr>
            <a:t>GUÍA para la estructuración financiera</a:t>
          </a:r>
          <a:br>
            <a:rPr lang="es-CO" sz="1800" b="1" cap="all">
              <a:solidFill>
                <a:schemeClr val="tx1"/>
              </a:solidFill>
              <a:latin typeface="Sora" pitchFamily="2" charset="0"/>
              <a:cs typeface="Sora" pitchFamily="2" charset="0"/>
            </a:rPr>
          </a:br>
          <a:r>
            <a:rPr lang="es-CO" sz="1800" b="1" cap="all">
              <a:solidFill>
                <a:schemeClr val="tx1"/>
              </a:solidFill>
              <a:latin typeface="Sora" pitchFamily="2" charset="0"/>
              <a:cs typeface="Sora" pitchFamily="2" charset="0"/>
            </a:rPr>
            <a:t>y económica de comunidades</a:t>
          </a:r>
          <a:r>
            <a:rPr lang="es-CO" sz="1800" b="1" cap="all" baseline="0">
              <a:solidFill>
                <a:schemeClr val="tx1"/>
              </a:solidFill>
              <a:latin typeface="Sora" pitchFamily="2" charset="0"/>
              <a:cs typeface="Sora" pitchFamily="2" charset="0"/>
            </a:rPr>
            <a:t> energéticas</a:t>
          </a:r>
          <a:endParaRPr lang="es-CO" sz="1800" b="1" cap="all">
            <a:solidFill>
              <a:schemeClr val="tx1"/>
            </a:solidFill>
            <a:latin typeface="Sora" pitchFamily="2" charset="0"/>
            <a:cs typeface="Sora" pitchFamily="2" charset="0"/>
          </a:endParaRPr>
        </a:p>
      </xdr:txBody>
    </xdr:sp>
    <xdr:clientData/>
  </xdr:twoCellAnchor>
  <xdr:twoCellAnchor>
    <xdr:from>
      <xdr:col>1</xdr:col>
      <xdr:colOff>84731</xdr:colOff>
      <xdr:row>11</xdr:row>
      <xdr:rowOff>156277</xdr:rowOff>
    </xdr:from>
    <xdr:to>
      <xdr:col>22</xdr:col>
      <xdr:colOff>678345</xdr:colOff>
      <xdr:row>28</xdr:row>
      <xdr:rowOff>115466</xdr:rowOff>
    </xdr:to>
    <xdr:grpSp>
      <xdr:nvGrpSpPr>
        <xdr:cNvPr id="149" name="Grupo 148">
          <a:extLst>
            <a:ext uri="{FF2B5EF4-FFF2-40B4-BE49-F238E27FC236}">
              <a16:creationId xmlns:a16="http://schemas.microsoft.com/office/drawing/2014/main" id="{3F4BAAE0-1915-64A4-AE16-DB7413A2AB33}"/>
            </a:ext>
          </a:extLst>
        </xdr:cNvPr>
        <xdr:cNvGrpSpPr/>
      </xdr:nvGrpSpPr>
      <xdr:grpSpPr>
        <a:xfrm>
          <a:off x="884084" y="2210689"/>
          <a:ext cx="17380026" cy="3134189"/>
          <a:chOff x="1189943" y="2229949"/>
          <a:chExt cx="16637286" cy="3163955"/>
        </a:xfrm>
      </xdr:grpSpPr>
      <xdr:grpSp>
        <xdr:nvGrpSpPr>
          <xdr:cNvPr id="138" name="Grupo 137">
            <a:extLst>
              <a:ext uri="{FF2B5EF4-FFF2-40B4-BE49-F238E27FC236}">
                <a16:creationId xmlns:a16="http://schemas.microsoft.com/office/drawing/2014/main" id="{CD31FFC3-2E02-D105-F852-0E12A3B62455}"/>
              </a:ext>
            </a:extLst>
          </xdr:cNvPr>
          <xdr:cNvGrpSpPr/>
        </xdr:nvGrpSpPr>
        <xdr:grpSpPr>
          <a:xfrm>
            <a:off x="1189943" y="2229949"/>
            <a:ext cx="5049511" cy="1470021"/>
            <a:chOff x="1995435" y="2150333"/>
            <a:chExt cx="5040000" cy="1447325"/>
          </a:xfrm>
        </xdr:grpSpPr>
        <xdr:grpSp>
          <xdr:nvGrpSpPr>
            <xdr:cNvPr id="137" name="Grupo 136">
              <a:extLst>
                <a:ext uri="{FF2B5EF4-FFF2-40B4-BE49-F238E27FC236}">
                  <a16:creationId xmlns:a16="http://schemas.microsoft.com/office/drawing/2014/main" id="{56F72F7E-FC35-452D-2687-16E49B438812}"/>
                </a:ext>
              </a:extLst>
            </xdr:cNvPr>
            <xdr:cNvGrpSpPr/>
          </xdr:nvGrpSpPr>
          <xdr:grpSpPr>
            <a:xfrm>
              <a:off x="2591155" y="2589374"/>
              <a:ext cx="3848561" cy="1008284"/>
              <a:chOff x="10535718" y="3107143"/>
              <a:chExt cx="3848561" cy="1008284"/>
            </a:xfrm>
          </xdr:grpSpPr>
          <xdr:grpSp>
            <xdr:nvGrpSpPr>
              <xdr:cNvPr id="46" name="Grupo 45">
                <a:hlinkClick xmlns:r="http://schemas.openxmlformats.org/officeDocument/2006/relationships" r:id="rId9" tooltip="ESTRUCTURA JURÍDICA"/>
                <a:extLst>
                  <a:ext uri="{FF2B5EF4-FFF2-40B4-BE49-F238E27FC236}">
                    <a16:creationId xmlns:a16="http://schemas.microsoft.com/office/drawing/2014/main" id="{00000000-0008-0000-0900-00002E000000}"/>
                  </a:ext>
                </a:extLst>
              </xdr:cNvPr>
              <xdr:cNvGrpSpPr/>
            </xdr:nvGrpSpPr>
            <xdr:grpSpPr>
              <a:xfrm>
                <a:off x="10535718" y="3107691"/>
                <a:ext cx="1184640" cy="1007736"/>
                <a:chOff x="7727714" y="548"/>
                <a:chExt cx="1245600" cy="997227"/>
              </a:xfrm>
              <a:solidFill>
                <a:srgbClr val="EFE7FD"/>
              </a:solidFill>
              <a:effectLst>
                <a:outerShdw blurRad="50800" dist="38100" dir="8100000" algn="tr" rotWithShape="0">
                  <a:prstClr val="black">
                    <a:alpha val="40000"/>
                  </a:prstClr>
                </a:outerShdw>
              </a:effectLst>
            </xdr:grpSpPr>
            <xdr:sp macro="" textlink="">
              <xdr:nvSpPr>
                <xdr:cNvPr id="23" name="Rectángulo: esquinas redondeadas 22">
                  <a:extLst>
                    <a:ext uri="{FF2B5EF4-FFF2-40B4-BE49-F238E27FC236}">
                      <a16:creationId xmlns:a16="http://schemas.microsoft.com/office/drawing/2014/main" id="{00000000-0008-0000-0900-000017000000}"/>
                    </a:ext>
                  </a:extLst>
                </xdr:cNvPr>
                <xdr:cNvSpPr/>
              </xdr:nvSpPr>
              <xdr:spPr>
                <a:xfrm>
                  <a:off x="7727714" y="548"/>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Estructura juridíca</a:t>
                  </a:r>
                </a:p>
              </xdr:txBody>
            </xdr:sp>
            <xdr:pic>
              <xdr:nvPicPr>
                <xdr:cNvPr id="28" name="Imagen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a:stretch>
                  <a:fillRect/>
                </a:stretch>
              </xdr:blipFill>
              <xdr:spPr>
                <a:xfrm>
                  <a:off x="8090842" y="37619"/>
                  <a:ext cx="540000" cy="540000"/>
                </a:xfrm>
                <a:prstGeom prst="rect">
                  <a:avLst/>
                </a:prstGeom>
                <a:grpFill/>
                <a:ln>
                  <a:noFill/>
                </a:ln>
              </xdr:spPr>
            </xdr:pic>
          </xdr:grpSp>
          <xdr:grpSp>
            <xdr:nvGrpSpPr>
              <xdr:cNvPr id="47" name="Grupo 46">
                <a:hlinkClick xmlns:r="http://schemas.openxmlformats.org/officeDocument/2006/relationships" r:id="rId11" tooltip="ESTRUCTURA DE CAPITAL"/>
                <a:extLst>
                  <a:ext uri="{FF2B5EF4-FFF2-40B4-BE49-F238E27FC236}">
                    <a16:creationId xmlns:a16="http://schemas.microsoft.com/office/drawing/2014/main" id="{00000000-0008-0000-0900-00002F000000}"/>
                  </a:ext>
                </a:extLst>
              </xdr:cNvPr>
              <xdr:cNvGrpSpPr/>
            </xdr:nvGrpSpPr>
            <xdr:grpSpPr>
              <a:xfrm>
                <a:off x="11860058" y="3107691"/>
                <a:ext cx="1184641" cy="1007736"/>
                <a:chOff x="9113014" y="548"/>
                <a:chExt cx="1245600" cy="997227"/>
              </a:xfrm>
              <a:solidFill>
                <a:srgbClr val="EFE7FD"/>
              </a:solidFill>
              <a:effectLst>
                <a:outerShdw blurRad="50800" dist="38100" dir="8100000" algn="tr" rotWithShape="0">
                  <a:prstClr val="black">
                    <a:alpha val="40000"/>
                  </a:prstClr>
                </a:outerShdw>
              </a:effectLst>
            </xdr:grpSpPr>
            <xdr:sp macro="" textlink="">
              <xdr:nvSpPr>
                <xdr:cNvPr id="24" name="Rectángulo: esquinas redondeadas 23">
                  <a:extLst>
                    <a:ext uri="{FF2B5EF4-FFF2-40B4-BE49-F238E27FC236}">
                      <a16:creationId xmlns:a16="http://schemas.microsoft.com/office/drawing/2014/main" id="{00000000-0008-0000-0900-000018000000}"/>
                    </a:ext>
                  </a:extLst>
                </xdr:cNvPr>
                <xdr:cNvSpPr/>
              </xdr:nvSpPr>
              <xdr:spPr>
                <a:xfrm>
                  <a:off x="9113014" y="548"/>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Estructura </a:t>
                  </a:r>
                  <a:b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b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de capital</a:t>
                  </a:r>
                </a:p>
              </xdr:txBody>
            </xdr:sp>
            <xdr:pic>
              <xdr:nvPicPr>
                <xdr:cNvPr id="29" name="Imagen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2"/>
                <a:stretch>
                  <a:fillRect/>
                </a:stretch>
              </xdr:blipFill>
              <xdr:spPr>
                <a:xfrm>
                  <a:off x="9522600" y="29097"/>
                  <a:ext cx="540000" cy="540000"/>
                </a:xfrm>
                <a:prstGeom prst="rect">
                  <a:avLst/>
                </a:prstGeom>
                <a:grpFill/>
                <a:ln>
                  <a:noFill/>
                </a:ln>
              </xdr:spPr>
            </xdr:pic>
          </xdr:grpSp>
          <xdr:grpSp>
            <xdr:nvGrpSpPr>
              <xdr:cNvPr id="48" name="Grupo 47">
                <a:hlinkClick xmlns:r="http://schemas.openxmlformats.org/officeDocument/2006/relationships" r:id="rId13" tooltip="ESTRUCTURA FINANCIERA"/>
                <a:extLst>
                  <a:ext uri="{FF2B5EF4-FFF2-40B4-BE49-F238E27FC236}">
                    <a16:creationId xmlns:a16="http://schemas.microsoft.com/office/drawing/2014/main" id="{00000000-0008-0000-0900-000030000000}"/>
                  </a:ext>
                </a:extLst>
              </xdr:cNvPr>
              <xdr:cNvGrpSpPr/>
            </xdr:nvGrpSpPr>
            <xdr:grpSpPr>
              <a:xfrm>
                <a:off x="13169159" y="3107143"/>
                <a:ext cx="1215120" cy="1007736"/>
                <a:chOff x="10483074" y="0"/>
                <a:chExt cx="1245600" cy="997227"/>
              </a:xfrm>
              <a:solidFill>
                <a:srgbClr val="EFE7FD"/>
              </a:solidFill>
              <a:effectLst>
                <a:outerShdw blurRad="50800" dist="38100" dir="8100000" algn="tr" rotWithShape="0">
                  <a:prstClr val="black">
                    <a:alpha val="40000"/>
                  </a:prstClr>
                </a:outerShdw>
              </a:effectLst>
            </xdr:grpSpPr>
            <xdr:sp macro="" textlink="">
              <xdr:nvSpPr>
                <xdr:cNvPr id="44" name="Rectángulo: esquinas redondeadas 43">
                  <a:extLst>
                    <a:ext uri="{FF2B5EF4-FFF2-40B4-BE49-F238E27FC236}">
                      <a16:creationId xmlns:a16="http://schemas.microsoft.com/office/drawing/2014/main" id="{00000000-0008-0000-0900-00002C000000}"/>
                    </a:ext>
                  </a:extLst>
                </xdr:cNvPr>
                <xdr:cNvSpPr/>
              </xdr:nvSpPr>
              <xdr:spPr>
                <a:xfrm>
                  <a:off x="10483074" y="0"/>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Estructura financiera</a:t>
                  </a:r>
                </a:p>
              </xdr:txBody>
            </xdr:sp>
            <xdr:pic>
              <xdr:nvPicPr>
                <xdr:cNvPr id="45" name="Imagen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4"/>
                <a:stretch>
                  <a:fillRect/>
                </a:stretch>
              </xdr:blipFill>
              <xdr:spPr>
                <a:xfrm>
                  <a:off x="10831374" y="69106"/>
                  <a:ext cx="540000" cy="540000"/>
                </a:xfrm>
                <a:prstGeom prst="rect">
                  <a:avLst/>
                </a:prstGeom>
                <a:grpFill/>
                <a:ln>
                  <a:noFill/>
                </a:ln>
              </xdr:spPr>
            </xdr:pic>
          </xdr:grpSp>
        </xdr:grpSp>
        <xdr:sp macro="" textlink="">
          <xdr:nvSpPr>
            <xdr:cNvPr id="7" name="Rectángulo: esquinas redondeadas 6">
              <a:extLst>
                <a:ext uri="{FF2B5EF4-FFF2-40B4-BE49-F238E27FC236}">
                  <a16:creationId xmlns:a16="http://schemas.microsoft.com/office/drawing/2014/main" id="{00000000-0008-0000-0900-000007000000}"/>
                </a:ext>
              </a:extLst>
            </xdr:cNvPr>
            <xdr:cNvSpPr/>
          </xdr:nvSpPr>
          <xdr:spPr>
            <a:xfrm>
              <a:off x="1995435" y="2150333"/>
              <a:ext cx="5040000" cy="468000"/>
            </a:xfrm>
            <a:prstGeom prst="roundRect">
              <a:avLst/>
            </a:prstGeom>
            <a:solidFill>
              <a:srgbClr val="A2EAE8"/>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black"/>
                  </a:solidFill>
                  <a:effectLst/>
                  <a:uLnTx/>
                  <a:uFillTx/>
                  <a:latin typeface="Sora" pitchFamily="2" charset="0"/>
                  <a:ea typeface="+mn-ea"/>
                  <a:cs typeface="Sora" pitchFamily="2" charset="0"/>
                </a:rPr>
                <a:t>Módulo de forma asociativa de la comunidad</a:t>
              </a:r>
            </a:p>
          </xdr:txBody>
        </xdr:sp>
      </xdr:grpSp>
      <xdr:grpSp>
        <xdr:nvGrpSpPr>
          <xdr:cNvPr id="140" name="Grupo 139">
            <a:extLst>
              <a:ext uri="{FF2B5EF4-FFF2-40B4-BE49-F238E27FC236}">
                <a16:creationId xmlns:a16="http://schemas.microsoft.com/office/drawing/2014/main" id="{7CBFF2D4-C5EE-93C3-3951-F34A77B252B9}"/>
              </a:ext>
            </a:extLst>
          </xdr:cNvPr>
          <xdr:cNvGrpSpPr/>
        </xdr:nvGrpSpPr>
        <xdr:grpSpPr>
          <a:xfrm>
            <a:off x="6978252" y="2235705"/>
            <a:ext cx="5056286" cy="1464265"/>
            <a:chOff x="7407588" y="2153027"/>
            <a:chExt cx="5040000" cy="1443459"/>
          </a:xfrm>
        </xdr:grpSpPr>
        <xdr:grpSp>
          <xdr:nvGrpSpPr>
            <xdr:cNvPr id="139" name="Grupo 138">
              <a:extLst>
                <a:ext uri="{FF2B5EF4-FFF2-40B4-BE49-F238E27FC236}">
                  <a16:creationId xmlns:a16="http://schemas.microsoft.com/office/drawing/2014/main" id="{4EB95F89-5856-F304-21D2-0930294E77F5}"/>
                </a:ext>
              </a:extLst>
            </xdr:cNvPr>
            <xdr:cNvGrpSpPr/>
          </xdr:nvGrpSpPr>
          <xdr:grpSpPr>
            <a:xfrm>
              <a:off x="7994563" y="2582845"/>
              <a:ext cx="3866051" cy="1013641"/>
              <a:chOff x="10535718" y="4184998"/>
              <a:chExt cx="3866051" cy="1013641"/>
            </a:xfrm>
          </xdr:grpSpPr>
          <xdr:grpSp>
            <xdr:nvGrpSpPr>
              <xdr:cNvPr id="50" name="Grupo 49">
                <a:hlinkClick xmlns:r="http://schemas.openxmlformats.org/officeDocument/2006/relationships" r:id="rId15" tooltip="VARIABLES ECONÓMICAS"/>
                <a:extLst>
                  <a:ext uri="{FF2B5EF4-FFF2-40B4-BE49-F238E27FC236}">
                    <a16:creationId xmlns:a16="http://schemas.microsoft.com/office/drawing/2014/main" id="{00000000-0008-0000-0900-000032000000}"/>
                  </a:ext>
                </a:extLst>
              </xdr:cNvPr>
              <xdr:cNvGrpSpPr/>
            </xdr:nvGrpSpPr>
            <xdr:grpSpPr>
              <a:xfrm>
                <a:off x="11866138" y="4185000"/>
                <a:ext cx="1184641" cy="1013639"/>
                <a:chOff x="12327114" y="2042708"/>
                <a:chExt cx="1245600" cy="997227"/>
              </a:xfrm>
              <a:solidFill>
                <a:srgbClr val="EFE7FD"/>
              </a:solidFill>
              <a:effectLst>
                <a:outerShdw blurRad="50800" dist="38100" dir="8100000" algn="tr" rotWithShape="0">
                  <a:prstClr val="black">
                    <a:alpha val="40000"/>
                  </a:prstClr>
                </a:outerShdw>
              </a:effectLst>
            </xdr:grpSpPr>
            <xdr:sp macro="" textlink="">
              <xdr:nvSpPr>
                <xdr:cNvPr id="12" name="Rectángulo: esquinas redondeadas 11">
                  <a:extLst>
                    <a:ext uri="{FF2B5EF4-FFF2-40B4-BE49-F238E27FC236}">
                      <a16:creationId xmlns:a16="http://schemas.microsoft.com/office/drawing/2014/main" id="{00000000-0008-0000-0900-00000C000000}"/>
                    </a:ext>
                  </a:extLst>
                </xdr:cNvPr>
                <xdr:cNvSpPr/>
              </xdr:nvSpPr>
              <xdr:spPr>
                <a:xfrm>
                  <a:off x="12327114" y="2042708"/>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Variables económicas</a:t>
                  </a:r>
                </a:p>
              </xdr:txBody>
            </xdr:sp>
            <xdr:pic>
              <xdr:nvPicPr>
                <xdr:cNvPr id="30" name="Imagen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6"/>
                <a:stretch>
                  <a:fillRect/>
                </a:stretch>
              </xdr:blipFill>
              <xdr:spPr>
                <a:xfrm>
                  <a:off x="12730615" y="2092878"/>
                  <a:ext cx="540000" cy="540000"/>
                </a:xfrm>
                <a:prstGeom prst="rect">
                  <a:avLst/>
                </a:prstGeom>
                <a:grpFill/>
                <a:ln>
                  <a:noFill/>
                </a:ln>
              </xdr:spPr>
            </xdr:pic>
          </xdr:grpSp>
          <xdr:grpSp>
            <xdr:nvGrpSpPr>
              <xdr:cNvPr id="49" name="Grupo 48">
                <a:hlinkClick xmlns:r="http://schemas.openxmlformats.org/officeDocument/2006/relationships" r:id="rId17" tooltip="CAPACITACIÓN Y FORMACIÓN"/>
                <a:extLst>
                  <a:ext uri="{FF2B5EF4-FFF2-40B4-BE49-F238E27FC236}">
                    <a16:creationId xmlns:a16="http://schemas.microsoft.com/office/drawing/2014/main" id="{00000000-0008-0000-0900-000031000000}"/>
                  </a:ext>
                </a:extLst>
              </xdr:cNvPr>
              <xdr:cNvGrpSpPr/>
            </xdr:nvGrpSpPr>
            <xdr:grpSpPr>
              <a:xfrm>
                <a:off x="10535718" y="4185000"/>
                <a:ext cx="1184640" cy="1013639"/>
                <a:chOff x="7727714" y="1067348"/>
                <a:chExt cx="1245600" cy="997227"/>
              </a:xfrm>
              <a:solidFill>
                <a:srgbClr val="EFE7FD"/>
              </a:solidFill>
              <a:effectLst>
                <a:outerShdw blurRad="50800" dist="38100" dir="8100000" algn="tr" rotWithShape="0">
                  <a:prstClr val="black">
                    <a:alpha val="40000"/>
                  </a:prstClr>
                </a:outerShdw>
              </a:effectLst>
            </xdr:grpSpPr>
            <xdr:sp macro="" textlink="">
              <xdr:nvSpPr>
                <xdr:cNvPr id="25" name="Rectángulo: esquinas redondeadas 24">
                  <a:extLst>
                    <a:ext uri="{FF2B5EF4-FFF2-40B4-BE49-F238E27FC236}">
                      <a16:creationId xmlns:a16="http://schemas.microsoft.com/office/drawing/2014/main" id="{00000000-0008-0000-0900-000019000000}"/>
                    </a:ext>
                  </a:extLst>
                </xdr:cNvPr>
                <xdr:cNvSpPr/>
              </xdr:nvSpPr>
              <xdr:spPr>
                <a:xfrm>
                  <a:off x="7727714" y="1067348"/>
                  <a:ext cx="1245600" cy="997227"/>
                </a:xfrm>
                <a:prstGeom prst="roundRect">
                  <a:avLst/>
                </a:prstGeom>
                <a:solidFill>
                  <a:srgbClr val="EFE7FD"/>
                </a:solid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Capacitación</a:t>
                  </a:r>
                </a:p>
              </xdr:txBody>
            </xdr:sp>
            <xdr:pic>
              <xdr:nvPicPr>
                <xdr:cNvPr id="31" name="Imagen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8"/>
                <a:stretch>
                  <a:fillRect/>
                </a:stretch>
              </xdr:blipFill>
              <xdr:spPr>
                <a:xfrm>
                  <a:off x="8170135" y="1151047"/>
                  <a:ext cx="540000" cy="540000"/>
                </a:xfrm>
                <a:prstGeom prst="rect">
                  <a:avLst/>
                </a:prstGeom>
                <a:grpFill/>
                <a:ln>
                  <a:noFill/>
                </a:ln>
              </xdr:spPr>
            </xdr:pic>
          </xdr:grpSp>
          <xdr:grpSp>
            <xdr:nvGrpSpPr>
              <xdr:cNvPr id="53" name="Grupo 52">
                <a:hlinkClick xmlns:r="http://schemas.openxmlformats.org/officeDocument/2006/relationships" r:id="rId19" tooltip="OTRAS ACTIVIDADES ECONÓMICAS"/>
                <a:extLst>
                  <a:ext uri="{FF2B5EF4-FFF2-40B4-BE49-F238E27FC236}">
                    <a16:creationId xmlns:a16="http://schemas.microsoft.com/office/drawing/2014/main" id="{00000000-0008-0000-0900-000035000000}"/>
                  </a:ext>
                </a:extLst>
              </xdr:cNvPr>
              <xdr:cNvGrpSpPr/>
            </xdr:nvGrpSpPr>
            <xdr:grpSpPr>
              <a:xfrm>
                <a:off x="13186649" y="4184998"/>
                <a:ext cx="1215120" cy="1013639"/>
                <a:chOff x="10500564" y="1067346"/>
                <a:chExt cx="1245600" cy="997227"/>
              </a:xfrm>
              <a:solidFill>
                <a:srgbClr val="EFE7FD"/>
              </a:solidFill>
              <a:effectLst>
                <a:outerShdw blurRad="50800" dist="38100" dir="8100000" algn="tr" rotWithShape="0">
                  <a:prstClr val="black">
                    <a:alpha val="40000"/>
                  </a:prstClr>
                </a:outerShdw>
              </a:effectLst>
            </xdr:grpSpPr>
            <xdr:sp macro="" textlink="">
              <xdr:nvSpPr>
                <xdr:cNvPr id="27" name="Rectángulo: esquinas redondeadas 26">
                  <a:extLst>
                    <a:ext uri="{FF2B5EF4-FFF2-40B4-BE49-F238E27FC236}">
                      <a16:creationId xmlns:a16="http://schemas.microsoft.com/office/drawing/2014/main" id="{00000000-0008-0000-0900-00001B000000}"/>
                    </a:ext>
                  </a:extLst>
                </xdr:cNvPr>
                <xdr:cNvSpPr/>
              </xdr:nvSpPr>
              <xdr:spPr>
                <a:xfrm>
                  <a:off x="10500564" y="1067346"/>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Otras actividades</a:t>
                  </a:r>
                </a:p>
              </xdr:txBody>
            </xdr:sp>
            <xdr:pic>
              <xdr:nvPicPr>
                <xdr:cNvPr id="52" name="Imagen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20"/>
                <a:stretch>
                  <a:fillRect/>
                </a:stretch>
              </xdr:blipFill>
              <xdr:spPr>
                <a:xfrm>
                  <a:off x="10866120" y="1112520"/>
                  <a:ext cx="540000" cy="540000"/>
                </a:xfrm>
                <a:prstGeom prst="rect">
                  <a:avLst/>
                </a:prstGeom>
                <a:grpFill/>
                <a:ln>
                  <a:noFill/>
                </a:ln>
              </xdr:spPr>
            </xdr:pic>
          </xdr:grpSp>
        </xdr:grpSp>
        <xdr:sp macro="" textlink="">
          <xdr:nvSpPr>
            <xdr:cNvPr id="8" name="Rectángulo: esquinas redondeadas 7">
              <a:extLst>
                <a:ext uri="{FF2B5EF4-FFF2-40B4-BE49-F238E27FC236}">
                  <a16:creationId xmlns:a16="http://schemas.microsoft.com/office/drawing/2014/main" id="{00000000-0008-0000-0900-000008000000}"/>
                </a:ext>
              </a:extLst>
            </xdr:cNvPr>
            <xdr:cNvSpPr/>
          </xdr:nvSpPr>
          <xdr:spPr>
            <a:xfrm>
              <a:off x="7407588" y="2153027"/>
              <a:ext cx="5040000" cy="468000"/>
            </a:xfrm>
            <a:prstGeom prst="roundRect">
              <a:avLst/>
            </a:prstGeom>
            <a:solidFill>
              <a:srgbClr val="A2EAE8"/>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black"/>
                  </a:solidFill>
                  <a:effectLst/>
                  <a:uLnTx/>
                  <a:uFillTx/>
                  <a:latin typeface="Sora" pitchFamily="2" charset="0"/>
                  <a:ea typeface="+mn-ea"/>
                  <a:cs typeface="Sora" pitchFamily="2" charset="0"/>
                </a:rPr>
                <a:t>Módulo de desarrollo de capacidades en la comunidad</a:t>
              </a:r>
            </a:p>
          </xdr:txBody>
        </xdr:sp>
      </xdr:grpSp>
      <xdr:grpSp>
        <xdr:nvGrpSpPr>
          <xdr:cNvPr id="142" name="Grupo 141">
            <a:extLst>
              <a:ext uri="{FF2B5EF4-FFF2-40B4-BE49-F238E27FC236}">
                <a16:creationId xmlns:a16="http://schemas.microsoft.com/office/drawing/2014/main" id="{E8E24395-A07D-9D87-7466-9B5969DC5FA0}"/>
              </a:ext>
            </a:extLst>
          </xdr:cNvPr>
          <xdr:cNvGrpSpPr/>
        </xdr:nvGrpSpPr>
        <xdr:grpSpPr>
          <a:xfrm>
            <a:off x="12773338" y="2232536"/>
            <a:ext cx="5053891" cy="1467434"/>
            <a:chOff x="12741588" y="2122547"/>
            <a:chExt cx="5040000" cy="1446628"/>
          </a:xfrm>
        </xdr:grpSpPr>
        <xdr:grpSp>
          <xdr:nvGrpSpPr>
            <xdr:cNvPr id="141" name="Grupo 140">
              <a:extLst>
                <a:ext uri="{FF2B5EF4-FFF2-40B4-BE49-F238E27FC236}">
                  <a16:creationId xmlns:a16="http://schemas.microsoft.com/office/drawing/2014/main" id="{5C917A47-7949-F258-C9F1-3FCDD0F966BF}"/>
                </a:ext>
              </a:extLst>
            </xdr:cNvPr>
            <xdr:cNvGrpSpPr/>
          </xdr:nvGrpSpPr>
          <xdr:grpSpPr>
            <a:xfrm>
              <a:off x="13329688" y="2547094"/>
              <a:ext cx="3863801" cy="1022081"/>
              <a:chOff x="10535718" y="5262939"/>
              <a:chExt cx="3863801" cy="1022081"/>
            </a:xfrm>
          </xdr:grpSpPr>
          <xdr:grpSp>
            <xdr:nvGrpSpPr>
              <xdr:cNvPr id="55" name="Grupo 54">
                <a:hlinkClick xmlns:r="http://schemas.openxmlformats.org/officeDocument/2006/relationships" r:id="rId21" tooltip="CAPEX"/>
                <a:extLst>
                  <a:ext uri="{FF2B5EF4-FFF2-40B4-BE49-F238E27FC236}">
                    <a16:creationId xmlns:a16="http://schemas.microsoft.com/office/drawing/2014/main" id="{00000000-0008-0000-0900-000037000000}"/>
                  </a:ext>
                </a:extLst>
              </xdr:cNvPr>
              <xdr:cNvGrpSpPr/>
            </xdr:nvGrpSpPr>
            <xdr:grpSpPr>
              <a:xfrm>
                <a:off x="10535718" y="5262939"/>
                <a:ext cx="1184640" cy="1022081"/>
                <a:chOff x="7727714" y="2128875"/>
                <a:chExt cx="1245600" cy="1002500"/>
              </a:xfrm>
              <a:solidFill>
                <a:srgbClr val="EFE7FD"/>
              </a:solidFill>
              <a:effectLst>
                <a:outerShdw blurRad="50800" dist="38100" dir="8100000" algn="tr" rotWithShape="0">
                  <a:prstClr val="black">
                    <a:alpha val="40000"/>
                  </a:prstClr>
                </a:outerShdw>
              </a:effectLst>
            </xdr:grpSpPr>
            <xdr:sp macro="" textlink="">
              <xdr:nvSpPr>
                <xdr:cNvPr id="13" name="Rectángulo: esquinas redondeadas 12">
                  <a:extLst>
                    <a:ext uri="{FF2B5EF4-FFF2-40B4-BE49-F238E27FC236}">
                      <a16:creationId xmlns:a16="http://schemas.microsoft.com/office/drawing/2014/main" id="{00000000-0008-0000-0900-00000D000000}"/>
                    </a:ext>
                  </a:extLst>
                </xdr:cNvPr>
                <xdr:cNvSpPr/>
              </xdr:nvSpPr>
              <xdr:spPr>
                <a:xfrm>
                  <a:off x="7727714" y="2134148"/>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CAPEX</a:t>
                  </a:r>
                  <a:endParaRPr kumimoji="0" lang="es-CO" sz="1000" b="1" i="0" u="none" strike="noStrike" kern="0" cap="none" spc="0" normalizeH="0" baseline="0" noProof="0">
                    <a:ln>
                      <a:noFill/>
                    </a:ln>
                    <a:solidFill>
                      <a:prstClr val="black"/>
                    </a:solidFill>
                    <a:effectLst/>
                    <a:uLnTx/>
                    <a:uFillTx/>
                    <a:latin typeface="Arial Narrow" panose="020B0606020202030204" pitchFamily="34" charset="0"/>
                    <a:ea typeface="+mn-ea"/>
                    <a:cs typeface="+mn-cs"/>
                  </a:endParaRPr>
                </a:p>
              </xdr:txBody>
            </xdr:sp>
            <xdr:pic>
              <xdr:nvPicPr>
                <xdr:cNvPr id="34" name="Imagen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2"/>
                <a:stretch>
                  <a:fillRect/>
                </a:stretch>
              </xdr:blipFill>
              <xdr:spPr>
                <a:xfrm>
                  <a:off x="8191499" y="2128875"/>
                  <a:ext cx="540000" cy="540000"/>
                </a:xfrm>
                <a:prstGeom prst="rect">
                  <a:avLst/>
                </a:prstGeom>
                <a:grpFill/>
                <a:ln>
                  <a:noFill/>
                </a:ln>
              </xdr:spPr>
            </xdr:pic>
          </xdr:grpSp>
          <xdr:grpSp>
            <xdr:nvGrpSpPr>
              <xdr:cNvPr id="57" name="Grupo 56">
                <a:hlinkClick xmlns:r="http://schemas.openxmlformats.org/officeDocument/2006/relationships" r:id="rId23" tooltip="FINANCIACIÓN DEL PROYECTO"/>
                <a:extLst>
                  <a:ext uri="{FF2B5EF4-FFF2-40B4-BE49-F238E27FC236}">
                    <a16:creationId xmlns:a16="http://schemas.microsoft.com/office/drawing/2014/main" id="{00000000-0008-0000-0900-000039000000}"/>
                  </a:ext>
                </a:extLst>
              </xdr:cNvPr>
              <xdr:cNvGrpSpPr/>
            </xdr:nvGrpSpPr>
            <xdr:grpSpPr>
              <a:xfrm>
                <a:off x="13184399" y="5262939"/>
                <a:ext cx="1215120" cy="1016808"/>
                <a:chOff x="10498314" y="2128875"/>
                <a:chExt cx="1245600" cy="997227"/>
              </a:xfrm>
              <a:solidFill>
                <a:srgbClr val="EFE7FD"/>
              </a:solidFill>
              <a:effectLst>
                <a:outerShdw blurRad="50800" dist="38100" dir="8100000" algn="tr" rotWithShape="0">
                  <a:prstClr val="black">
                    <a:alpha val="40000"/>
                  </a:prstClr>
                </a:outerShdw>
              </a:effectLst>
            </xdr:grpSpPr>
            <xdr:sp macro="" textlink="">
              <xdr:nvSpPr>
                <xdr:cNvPr id="17" name="Rectángulo: esquinas redondeadas 16">
                  <a:extLst>
                    <a:ext uri="{FF2B5EF4-FFF2-40B4-BE49-F238E27FC236}">
                      <a16:creationId xmlns:a16="http://schemas.microsoft.com/office/drawing/2014/main" id="{00000000-0008-0000-0900-000011000000}"/>
                    </a:ext>
                  </a:extLst>
                </xdr:cNvPr>
                <xdr:cNvSpPr/>
              </xdr:nvSpPr>
              <xdr:spPr>
                <a:xfrm>
                  <a:off x="10498314" y="2128875"/>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Créditos y fondos apoyo</a:t>
                  </a:r>
                </a:p>
              </xdr:txBody>
            </xdr:sp>
            <xdr:pic>
              <xdr:nvPicPr>
                <xdr:cNvPr id="35" name="Imagen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4"/>
                <a:stretch>
                  <a:fillRect/>
                </a:stretch>
              </xdr:blipFill>
              <xdr:spPr>
                <a:xfrm>
                  <a:off x="10851114" y="2175626"/>
                  <a:ext cx="540000" cy="540000"/>
                </a:xfrm>
                <a:prstGeom prst="rect">
                  <a:avLst/>
                </a:prstGeom>
                <a:grpFill/>
                <a:ln>
                  <a:noFill/>
                </a:ln>
              </xdr:spPr>
            </xdr:pic>
          </xdr:grpSp>
          <xdr:grpSp>
            <xdr:nvGrpSpPr>
              <xdr:cNvPr id="56" name="Grupo 55">
                <a:hlinkClick xmlns:r="http://schemas.openxmlformats.org/officeDocument/2006/relationships" r:id="rId25" tooltip="AOM Y OPEX"/>
                <a:extLst>
                  <a:ext uri="{FF2B5EF4-FFF2-40B4-BE49-F238E27FC236}">
                    <a16:creationId xmlns:a16="http://schemas.microsoft.com/office/drawing/2014/main" id="{00000000-0008-0000-0900-000038000000}"/>
                  </a:ext>
                </a:extLst>
              </xdr:cNvPr>
              <xdr:cNvGrpSpPr/>
            </xdr:nvGrpSpPr>
            <xdr:grpSpPr>
              <a:xfrm>
                <a:off x="11860058" y="5268210"/>
                <a:ext cx="1184641" cy="1016808"/>
                <a:chOff x="9113014" y="2134146"/>
                <a:chExt cx="1245600" cy="997227"/>
              </a:xfrm>
              <a:solidFill>
                <a:srgbClr val="EFE7FD"/>
              </a:solidFill>
              <a:effectLst>
                <a:outerShdw blurRad="50800" dist="38100" dir="8100000" algn="tr" rotWithShape="0">
                  <a:prstClr val="black">
                    <a:alpha val="40000"/>
                  </a:prstClr>
                </a:outerShdw>
              </a:effectLst>
            </xdr:grpSpPr>
            <xdr:sp macro="" textlink="">
              <xdr:nvSpPr>
                <xdr:cNvPr id="14" name="Rectángulo: esquinas redondeadas 13">
                  <a:extLst>
                    <a:ext uri="{FF2B5EF4-FFF2-40B4-BE49-F238E27FC236}">
                      <a16:creationId xmlns:a16="http://schemas.microsoft.com/office/drawing/2014/main" id="{00000000-0008-0000-0900-00000E000000}"/>
                    </a:ext>
                  </a:extLst>
                </xdr:cNvPr>
                <xdr:cNvSpPr/>
              </xdr:nvSpPr>
              <xdr:spPr>
                <a:xfrm>
                  <a:off x="9113014" y="2134146"/>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AOM y OPEX</a:t>
                  </a:r>
                </a:p>
              </xdr:txBody>
            </xdr:sp>
            <xdr:pic>
              <xdr:nvPicPr>
                <xdr:cNvPr id="36" name="Imagen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6"/>
                <a:stretch>
                  <a:fillRect/>
                </a:stretch>
              </xdr:blipFill>
              <xdr:spPr>
                <a:xfrm>
                  <a:off x="9511914" y="2172489"/>
                  <a:ext cx="540000" cy="540000"/>
                </a:xfrm>
                <a:prstGeom prst="rect">
                  <a:avLst/>
                </a:prstGeom>
                <a:grpFill/>
                <a:ln>
                  <a:noFill/>
                </a:ln>
              </xdr:spPr>
            </xdr:pic>
          </xdr:grpSp>
        </xdr:grpSp>
        <xdr:sp macro="" textlink="">
          <xdr:nvSpPr>
            <xdr:cNvPr id="9" name="Rectángulo: esquinas redondeadas 8">
              <a:extLst>
                <a:ext uri="{FF2B5EF4-FFF2-40B4-BE49-F238E27FC236}">
                  <a16:creationId xmlns:a16="http://schemas.microsoft.com/office/drawing/2014/main" id="{00000000-0008-0000-0900-000009000000}"/>
                </a:ext>
              </a:extLst>
            </xdr:cNvPr>
            <xdr:cNvSpPr/>
          </xdr:nvSpPr>
          <xdr:spPr>
            <a:xfrm>
              <a:off x="12741588" y="2122547"/>
              <a:ext cx="5040000" cy="468000"/>
            </a:xfrm>
            <a:prstGeom prst="roundRect">
              <a:avLst/>
            </a:prstGeom>
            <a:solidFill>
              <a:srgbClr val="A2EAE8"/>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black"/>
                  </a:solidFill>
                  <a:effectLst/>
                  <a:uLnTx/>
                  <a:uFillTx/>
                  <a:latin typeface="Sora" pitchFamily="2" charset="0"/>
                  <a:ea typeface="+mn-ea"/>
                  <a:cs typeface="Sora" pitchFamily="2" charset="0"/>
                </a:rPr>
                <a:t>Módulo del sistema energético</a:t>
              </a:r>
            </a:p>
          </xdr:txBody>
        </xdr:sp>
      </xdr:grpSp>
      <xdr:grpSp>
        <xdr:nvGrpSpPr>
          <xdr:cNvPr id="144" name="Grupo 143">
            <a:extLst>
              <a:ext uri="{FF2B5EF4-FFF2-40B4-BE49-F238E27FC236}">
                <a16:creationId xmlns:a16="http://schemas.microsoft.com/office/drawing/2014/main" id="{CBB2445D-C6D7-0CD2-AECE-9325D0C91A0E}"/>
              </a:ext>
            </a:extLst>
          </xdr:cNvPr>
          <xdr:cNvGrpSpPr/>
        </xdr:nvGrpSpPr>
        <xdr:grpSpPr>
          <a:xfrm>
            <a:off x="4086287" y="3923406"/>
            <a:ext cx="5051907" cy="1470498"/>
            <a:chOff x="5007725" y="4091389"/>
            <a:chExt cx="5066276" cy="1451338"/>
          </a:xfrm>
        </xdr:grpSpPr>
        <xdr:grpSp>
          <xdr:nvGrpSpPr>
            <xdr:cNvPr id="143" name="Grupo 142">
              <a:extLst>
                <a:ext uri="{FF2B5EF4-FFF2-40B4-BE49-F238E27FC236}">
                  <a16:creationId xmlns:a16="http://schemas.microsoft.com/office/drawing/2014/main" id="{73E5AECD-DC48-9998-EFA8-AFC4E7AF80F4}"/>
                </a:ext>
              </a:extLst>
            </xdr:cNvPr>
            <xdr:cNvGrpSpPr/>
          </xdr:nvGrpSpPr>
          <xdr:grpSpPr>
            <a:xfrm>
              <a:off x="5594204" y="4516403"/>
              <a:ext cx="3893318" cy="1026324"/>
              <a:chOff x="10592649" y="6355711"/>
              <a:chExt cx="3893318" cy="1026324"/>
            </a:xfrm>
          </xdr:grpSpPr>
          <xdr:grpSp>
            <xdr:nvGrpSpPr>
              <xdr:cNvPr id="58" name="Grupo 57">
                <a:hlinkClick xmlns:r="http://schemas.openxmlformats.org/officeDocument/2006/relationships" r:id="rId27" tooltip="ACTIVOS FIJOS E INTANGIBLES"/>
                <a:extLst>
                  <a:ext uri="{FF2B5EF4-FFF2-40B4-BE49-F238E27FC236}">
                    <a16:creationId xmlns:a16="http://schemas.microsoft.com/office/drawing/2014/main" id="{00000000-0008-0000-0900-00003A000000}"/>
                  </a:ext>
                </a:extLst>
              </xdr:cNvPr>
              <xdr:cNvGrpSpPr/>
            </xdr:nvGrpSpPr>
            <xdr:grpSpPr>
              <a:xfrm>
                <a:off x="10592649" y="6368604"/>
                <a:ext cx="1193399" cy="1013431"/>
                <a:chOff x="7727714" y="3200948"/>
                <a:chExt cx="1245600" cy="997227"/>
              </a:xfrm>
              <a:solidFill>
                <a:srgbClr val="EFE7FD"/>
              </a:solidFill>
              <a:effectLst>
                <a:outerShdw blurRad="50800" dist="38100" dir="8100000" algn="tr" rotWithShape="0">
                  <a:prstClr val="black">
                    <a:alpha val="40000"/>
                  </a:prstClr>
                </a:outerShdw>
              </a:effectLst>
            </xdr:grpSpPr>
            <xdr:sp macro="" textlink="">
              <xdr:nvSpPr>
                <xdr:cNvPr id="16" name="Rectángulo: esquinas redondeadas 15">
                  <a:extLst>
                    <a:ext uri="{FF2B5EF4-FFF2-40B4-BE49-F238E27FC236}">
                      <a16:creationId xmlns:a16="http://schemas.microsoft.com/office/drawing/2014/main" id="{00000000-0008-0000-0900-000010000000}"/>
                    </a:ext>
                  </a:extLst>
                </xdr:cNvPr>
                <xdr:cNvSpPr/>
              </xdr:nvSpPr>
              <xdr:spPr>
                <a:xfrm>
                  <a:off x="7727714" y="3200948"/>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Activos fijos </a:t>
                  </a:r>
                  <a:b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b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 intagibles</a:t>
                  </a:r>
                </a:p>
              </xdr:txBody>
            </xdr:sp>
            <xdr:pic>
              <xdr:nvPicPr>
                <xdr:cNvPr id="37" name="Imagen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8"/>
                <a:stretch>
                  <a:fillRect/>
                </a:stretch>
              </xdr:blipFill>
              <xdr:spPr>
                <a:xfrm>
                  <a:off x="8101713" y="3259804"/>
                  <a:ext cx="540000" cy="540000"/>
                </a:xfrm>
                <a:prstGeom prst="rect">
                  <a:avLst/>
                </a:prstGeom>
                <a:grpFill/>
                <a:ln>
                  <a:noFill/>
                </a:ln>
              </xdr:spPr>
            </xdr:pic>
          </xdr:grpSp>
          <xdr:grpSp>
            <xdr:nvGrpSpPr>
              <xdr:cNvPr id="59" name="Grupo 58">
                <a:hlinkClick xmlns:r="http://schemas.openxmlformats.org/officeDocument/2006/relationships" r:id="rId29" tooltip="PROYECCIONES MACROECONÓMICAS"/>
                <a:extLst>
                  <a:ext uri="{FF2B5EF4-FFF2-40B4-BE49-F238E27FC236}">
                    <a16:creationId xmlns:a16="http://schemas.microsoft.com/office/drawing/2014/main" id="{00000000-0008-0000-0900-00003B000000}"/>
                  </a:ext>
                </a:extLst>
              </xdr:cNvPr>
              <xdr:cNvGrpSpPr/>
            </xdr:nvGrpSpPr>
            <xdr:grpSpPr>
              <a:xfrm>
                <a:off x="11925748" y="6367577"/>
                <a:ext cx="1193399" cy="1013431"/>
                <a:chOff x="9113014" y="3199921"/>
                <a:chExt cx="1245600" cy="997227"/>
              </a:xfrm>
              <a:solidFill>
                <a:srgbClr val="EFE7FD"/>
              </a:solidFill>
              <a:effectLst>
                <a:outerShdw blurRad="50800" dist="38100" dir="8100000" algn="tr" rotWithShape="0">
                  <a:prstClr val="black">
                    <a:alpha val="40000"/>
                  </a:prstClr>
                </a:outerShdw>
              </a:effectLst>
            </xdr:grpSpPr>
            <xdr:sp macro="" textlink="">
              <xdr:nvSpPr>
                <xdr:cNvPr id="15" name="Rectángulo: esquinas redondeadas 14">
                  <a:extLst>
                    <a:ext uri="{FF2B5EF4-FFF2-40B4-BE49-F238E27FC236}">
                      <a16:creationId xmlns:a16="http://schemas.microsoft.com/office/drawing/2014/main" id="{00000000-0008-0000-0900-00000F000000}"/>
                    </a:ext>
                  </a:extLst>
                </xdr:cNvPr>
                <xdr:cNvSpPr/>
              </xdr:nvSpPr>
              <xdr:spPr>
                <a:xfrm>
                  <a:off x="9113014" y="3199921"/>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Macro</a:t>
                  </a:r>
                  <a:b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b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economía</a:t>
                  </a:r>
                </a:p>
              </xdr:txBody>
            </xdr:sp>
            <xdr:pic>
              <xdr:nvPicPr>
                <xdr:cNvPr id="38" name="Imagen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30"/>
                <a:stretch>
                  <a:fillRect/>
                </a:stretch>
              </xdr:blipFill>
              <xdr:spPr>
                <a:xfrm>
                  <a:off x="9537359" y="3237972"/>
                  <a:ext cx="540000" cy="540000"/>
                </a:xfrm>
                <a:prstGeom prst="rect">
                  <a:avLst/>
                </a:prstGeom>
                <a:grpFill/>
                <a:ln>
                  <a:noFill/>
                </a:ln>
              </xdr:spPr>
            </xdr:pic>
          </xdr:grpSp>
          <xdr:grpSp>
            <xdr:nvGrpSpPr>
              <xdr:cNvPr id="65" name="Grupo 64">
                <a:hlinkClick xmlns:r="http://schemas.openxmlformats.org/officeDocument/2006/relationships" r:id="rId31" tooltip="MANO DE OBRA"/>
                <a:extLst>
                  <a:ext uri="{FF2B5EF4-FFF2-40B4-BE49-F238E27FC236}">
                    <a16:creationId xmlns:a16="http://schemas.microsoft.com/office/drawing/2014/main" id="{00000000-0008-0000-0900-000041000000}"/>
                  </a:ext>
                </a:extLst>
              </xdr:cNvPr>
              <xdr:cNvGrpSpPr/>
            </xdr:nvGrpSpPr>
            <xdr:grpSpPr>
              <a:xfrm>
                <a:off x="13266467" y="6355711"/>
                <a:ext cx="1219500" cy="1013431"/>
                <a:chOff x="10505934" y="3188055"/>
                <a:chExt cx="1245600" cy="997227"/>
              </a:xfrm>
              <a:solidFill>
                <a:srgbClr val="EFE7FD"/>
              </a:solidFill>
              <a:effectLst>
                <a:outerShdw blurRad="50800" dist="38100" dir="8100000" algn="tr" rotWithShape="0">
                  <a:prstClr val="black">
                    <a:alpha val="40000"/>
                  </a:prstClr>
                </a:outerShdw>
              </a:effectLst>
            </xdr:grpSpPr>
            <xdr:sp macro="" textlink="">
              <xdr:nvSpPr>
                <xdr:cNvPr id="61" name="Rectángulo: esquinas redondeadas 60">
                  <a:extLst>
                    <a:ext uri="{FF2B5EF4-FFF2-40B4-BE49-F238E27FC236}">
                      <a16:creationId xmlns:a16="http://schemas.microsoft.com/office/drawing/2014/main" id="{00000000-0008-0000-0900-00003D000000}"/>
                    </a:ext>
                  </a:extLst>
                </xdr:cNvPr>
                <xdr:cNvSpPr/>
              </xdr:nvSpPr>
              <xdr:spPr>
                <a:xfrm>
                  <a:off x="10505934" y="3188055"/>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Mano de obra</a:t>
                  </a:r>
                </a:p>
              </xdr:txBody>
            </xdr:sp>
            <xdr:pic>
              <xdr:nvPicPr>
                <xdr:cNvPr id="64" name="Imagen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32"/>
                <a:stretch>
                  <a:fillRect/>
                </a:stretch>
              </xdr:blipFill>
              <xdr:spPr>
                <a:xfrm>
                  <a:off x="10774680" y="3215640"/>
                  <a:ext cx="698400" cy="698400"/>
                </a:xfrm>
                <a:prstGeom prst="rect">
                  <a:avLst/>
                </a:prstGeom>
                <a:grpFill/>
                <a:ln>
                  <a:noFill/>
                </a:ln>
              </xdr:spPr>
            </xdr:pic>
          </xdr:grpSp>
        </xdr:grpSp>
        <xdr:sp macro="" textlink="">
          <xdr:nvSpPr>
            <xdr:cNvPr id="10" name="Rectángulo: esquinas redondeadas 9">
              <a:extLst>
                <a:ext uri="{FF2B5EF4-FFF2-40B4-BE49-F238E27FC236}">
                  <a16:creationId xmlns:a16="http://schemas.microsoft.com/office/drawing/2014/main" id="{00000000-0008-0000-0900-00000A000000}"/>
                </a:ext>
              </a:extLst>
            </xdr:cNvPr>
            <xdr:cNvSpPr/>
          </xdr:nvSpPr>
          <xdr:spPr>
            <a:xfrm>
              <a:off x="5007725" y="4091389"/>
              <a:ext cx="5066276" cy="469011"/>
            </a:xfrm>
            <a:prstGeom prst="roundRect">
              <a:avLst/>
            </a:prstGeom>
            <a:solidFill>
              <a:srgbClr val="A2EAE8"/>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black"/>
                  </a:solidFill>
                  <a:effectLst/>
                  <a:uLnTx/>
                  <a:uFillTx/>
                  <a:latin typeface="Sora" pitchFamily="2" charset="0"/>
                  <a:ea typeface="+mn-ea"/>
                  <a:cs typeface="Sora" pitchFamily="2" charset="0"/>
                </a:rPr>
                <a:t>Módulo de gestión administrativa y sostenibilidad </a:t>
              </a:r>
              <a:br>
                <a:rPr kumimoji="0" lang="es-CO" sz="1400" b="1" i="0" u="none" strike="noStrike" kern="0" cap="none" spc="0" normalizeH="0" baseline="0" noProof="0">
                  <a:ln>
                    <a:noFill/>
                  </a:ln>
                  <a:solidFill>
                    <a:prstClr val="black"/>
                  </a:solidFill>
                  <a:effectLst/>
                  <a:uLnTx/>
                  <a:uFillTx/>
                  <a:latin typeface="Sora" pitchFamily="2" charset="0"/>
                  <a:ea typeface="+mn-ea"/>
                  <a:cs typeface="Sora" pitchFamily="2" charset="0"/>
                </a:rPr>
              </a:br>
              <a:r>
                <a:rPr kumimoji="0" lang="es-CO" sz="1400" b="1" i="0" u="none" strike="noStrike" kern="0" cap="none" spc="0" normalizeH="0" baseline="0" noProof="0">
                  <a:ln>
                    <a:noFill/>
                  </a:ln>
                  <a:solidFill>
                    <a:prstClr val="black"/>
                  </a:solidFill>
                  <a:effectLst/>
                  <a:uLnTx/>
                  <a:uFillTx/>
                  <a:latin typeface="Sora" pitchFamily="2" charset="0"/>
                  <a:ea typeface="+mn-ea"/>
                  <a:cs typeface="Sora" pitchFamily="2" charset="0"/>
                </a:rPr>
                <a:t>de la comunidad energética </a:t>
              </a:r>
              <a:r>
                <a:rPr kumimoji="0" lang="es-CO" sz="1400" b="1" i="0" u="none" strike="noStrike" kern="0" cap="none" spc="0" normalizeH="0" baseline="0" noProof="0">
                  <a:ln>
                    <a:noFill/>
                  </a:ln>
                  <a:solidFill>
                    <a:srgbClr val="FF0000"/>
                  </a:solidFill>
                  <a:effectLst/>
                  <a:uLnTx/>
                  <a:uFillTx/>
                  <a:latin typeface="Sora" pitchFamily="2" charset="0"/>
                  <a:ea typeface="+mn-ea"/>
                  <a:cs typeface="Sora" pitchFamily="2" charset="0"/>
                </a:rPr>
                <a:t>horizonte a 10 años</a:t>
              </a:r>
            </a:p>
          </xdr:txBody>
        </xdr:sp>
      </xdr:grpSp>
      <xdr:grpSp>
        <xdr:nvGrpSpPr>
          <xdr:cNvPr id="147" name="Grupo 146">
            <a:extLst>
              <a:ext uri="{FF2B5EF4-FFF2-40B4-BE49-F238E27FC236}">
                <a16:creationId xmlns:a16="http://schemas.microsoft.com/office/drawing/2014/main" id="{53C9989C-F6D9-2980-9650-5657E7DC43E5}"/>
              </a:ext>
            </a:extLst>
          </xdr:cNvPr>
          <xdr:cNvGrpSpPr/>
        </xdr:nvGrpSpPr>
        <xdr:grpSpPr>
          <a:xfrm>
            <a:off x="9879182" y="3934370"/>
            <a:ext cx="5049511" cy="1459534"/>
            <a:chOff x="11149709" y="4091389"/>
            <a:chExt cx="5066276" cy="1442769"/>
          </a:xfrm>
        </xdr:grpSpPr>
        <xdr:grpSp>
          <xdr:nvGrpSpPr>
            <xdr:cNvPr id="146" name="Grupo 145">
              <a:extLst>
                <a:ext uri="{FF2B5EF4-FFF2-40B4-BE49-F238E27FC236}">
                  <a16:creationId xmlns:a16="http://schemas.microsoft.com/office/drawing/2014/main" id="{D2B0C88F-6B5F-67C7-9DB5-8C642B0E511F}"/>
                </a:ext>
              </a:extLst>
            </xdr:cNvPr>
            <xdr:cNvGrpSpPr/>
          </xdr:nvGrpSpPr>
          <xdr:grpSpPr>
            <a:xfrm>
              <a:off x="11739998" y="4520727"/>
              <a:ext cx="3885698" cy="1013431"/>
              <a:chOff x="10592649" y="7454862"/>
              <a:chExt cx="3885698" cy="1013431"/>
            </a:xfrm>
          </xdr:grpSpPr>
          <xdr:grpSp>
            <xdr:nvGrpSpPr>
              <xdr:cNvPr id="66" name="Grupo 65">
                <a:hlinkClick xmlns:r="http://schemas.openxmlformats.org/officeDocument/2006/relationships" r:id="rId33" tooltip="ESTADO DE RESULTADOS"/>
                <a:extLst>
                  <a:ext uri="{FF2B5EF4-FFF2-40B4-BE49-F238E27FC236}">
                    <a16:creationId xmlns:a16="http://schemas.microsoft.com/office/drawing/2014/main" id="{00000000-0008-0000-0900-000042000000}"/>
                  </a:ext>
                </a:extLst>
              </xdr:cNvPr>
              <xdr:cNvGrpSpPr/>
            </xdr:nvGrpSpPr>
            <xdr:grpSpPr>
              <a:xfrm>
                <a:off x="10592649" y="7454863"/>
                <a:ext cx="1193399" cy="1013430"/>
                <a:chOff x="7727714" y="4267761"/>
                <a:chExt cx="1245600" cy="997227"/>
              </a:xfrm>
              <a:solidFill>
                <a:srgbClr val="EFE7FD"/>
              </a:solidFill>
              <a:effectLst>
                <a:outerShdw blurRad="50800" dist="38100" dir="8100000" algn="tr" rotWithShape="0">
                  <a:prstClr val="black">
                    <a:alpha val="40000"/>
                  </a:prstClr>
                </a:outerShdw>
              </a:effectLst>
            </xdr:grpSpPr>
            <xdr:sp macro="" textlink="">
              <xdr:nvSpPr>
                <xdr:cNvPr id="19" name="Rectángulo: esquinas redondeadas 18">
                  <a:extLst>
                    <a:ext uri="{FF2B5EF4-FFF2-40B4-BE49-F238E27FC236}">
                      <a16:creationId xmlns:a16="http://schemas.microsoft.com/office/drawing/2014/main" id="{00000000-0008-0000-0900-000013000000}"/>
                    </a:ext>
                  </a:extLst>
                </xdr:cNvPr>
                <xdr:cNvSpPr/>
              </xdr:nvSpPr>
              <xdr:spPr>
                <a:xfrm>
                  <a:off x="7727714" y="4267761"/>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Estado de resultados</a:t>
                  </a:r>
                </a:p>
              </xdr:txBody>
            </xdr:sp>
            <xdr:pic>
              <xdr:nvPicPr>
                <xdr:cNvPr id="40" name="Imagen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4"/>
                <a:stretch>
                  <a:fillRect/>
                </a:stretch>
              </xdr:blipFill>
              <xdr:spPr>
                <a:xfrm>
                  <a:off x="8101713" y="4309839"/>
                  <a:ext cx="540000" cy="540000"/>
                </a:xfrm>
                <a:prstGeom prst="rect">
                  <a:avLst/>
                </a:prstGeom>
                <a:grpFill/>
                <a:ln>
                  <a:noFill/>
                </a:ln>
              </xdr:spPr>
            </xdr:pic>
          </xdr:grpSp>
          <xdr:grpSp>
            <xdr:nvGrpSpPr>
              <xdr:cNvPr id="67" name="Grupo 66">
                <a:hlinkClick xmlns:r="http://schemas.openxmlformats.org/officeDocument/2006/relationships" r:id="rId35" tooltip="PRESUPUESTO DE EFECTIVO"/>
                <a:extLst>
                  <a:ext uri="{FF2B5EF4-FFF2-40B4-BE49-F238E27FC236}">
                    <a16:creationId xmlns:a16="http://schemas.microsoft.com/office/drawing/2014/main" id="{00000000-0008-0000-0900-000043000000}"/>
                  </a:ext>
                </a:extLst>
              </xdr:cNvPr>
              <xdr:cNvGrpSpPr/>
            </xdr:nvGrpSpPr>
            <xdr:grpSpPr>
              <a:xfrm>
                <a:off x="11925748" y="7454862"/>
                <a:ext cx="1193399" cy="1013430"/>
                <a:chOff x="9113014" y="4267760"/>
                <a:chExt cx="1245600" cy="997227"/>
              </a:xfrm>
              <a:solidFill>
                <a:srgbClr val="EFE7FD"/>
              </a:solidFill>
              <a:effectLst>
                <a:outerShdw blurRad="50800" dist="38100" dir="8100000" algn="tr" rotWithShape="0">
                  <a:prstClr val="black">
                    <a:alpha val="40000"/>
                  </a:prstClr>
                </a:outerShdw>
              </a:effectLst>
            </xdr:grpSpPr>
            <xdr:sp macro="" textlink="">
              <xdr:nvSpPr>
                <xdr:cNvPr id="20" name="Rectángulo: esquinas redondeadas 19">
                  <a:extLst>
                    <a:ext uri="{FF2B5EF4-FFF2-40B4-BE49-F238E27FC236}">
                      <a16:creationId xmlns:a16="http://schemas.microsoft.com/office/drawing/2014/main" id="{00000000-0008-0000-0900-000014000000}"/>
                    </a:ext>
                  </a:extLst>
                </xdr:cNvPr>
                <xdr:cNvSpPr/>
              </xdr:nvSpPr>
              <xdr:spPr>
                <a:xfrm>
                  <a:off x="9113014" y="4267760"/>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Estado flujo de efectivo</a:t>
                  </a:r>
                </a:p>
              </xdr:txBody>
            </xdr:sp>
            <xdr:pic>
              <xdr:nvPicPr>
                <xdr:cNvPr id="41" name="Imagen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36"/>
                <a:stretch>
                  <a:fillRect/>
                </a:stretch>
              </xdr:blipFill>
              <xdr:spPr>
                <a:xfrm>
                  <a:off x="9512853" y="4324945"/>
                  <a:ext cx="540000" cy="540000"/>
                </a:xfrm>
                <a:prstGeom prst="rect">
                  <a:avLst/>
                </a:prstGeom>
                <a:grpFill/>
                <a:ln>
                  <a:noFill/>
                </a:ln>
              </xdr:spPr>
            </xdr:pic>
          </xdr:grpSp>
          <xdr:grpSp>
            <xdr:nvGrpSpPr>
              <xdr:cNvPr id="68" name="Grupo 67">
                <a:hlinkClick xmlns:r="http://schemas.openxmlformats.org/officeDocument/2006/relationships" r:id="rId37" tooltip="ESTADO SITUACIÓN FINANCIERA"/>
                <a:extLst>
                  <a:ext uri="{FF2B5EF4-FFF2-40B4-BE49-F238E27FC236}">
                    <a16:creationId xmlns:a16="http://schemas.microsoft.com/office/drawing/2014/main" id="{00000000-0008-0000-0900-000044000000}"/>
                  </a:ext>
                </a:extLst>
              </xdr:cNvPr>
              <xdr:cNvGrpSpPr/>
            </xdr:nvGrpSpPr>
            <xdr:grpSpPr>
              <a:xfrm>
                <a:off x="13258847" y="7454862"/>
                <a:ext cx="1219500" cy="1013430"/>
                <a:chOff x="10498314" y="4267760"/>
                <a:chExt cx="1245600" cy="997227"/>
              </a:xfrm>
              <a:solidFill>
                <a:srgbClr val="EFE7FD"/>
              </a:solidFill>
              <a:effectLst>
                <a:outerShdw blurRad="50800" dist="38100" dir="8100000" algn="tr" rotWithShape="0">
                  <a:prstClr val="black">
                    <a:alpha val="40000"/>
                  </a:prstClr>
                </a:outerShdw>
              </a:effectLst>
            </xdr:grpSpPr>
            <xdr:sp macro="" textlink="">
              <xdr:nvSpPr>
                <xdr:cNvPr id="21" name="Rectángulo: esquinas redondeadas 20">
                  <a:extLst>
                    <a:ext uri="{FF2B5EF4-FFF2-40B4-BE49-F238E27FC236}">
                      <a16:creationId xmlns:a16="http://schemas.microsoft.com/office/drawing/2014/main" id="{00000000-0008-0000-0900-000015000000}"/>
                    </a:ext>
                  </a:extLst>
                </xdr:cNvPr>
                <xdr:cNvSpPr/>
              </xdr:nvSpPr>
              <xdr:spPr>
                <a:xfrm>
                  <a:off x="10498314" y="4267760"/>
                  <a:ext cx="1245600" cy="997227"/>
                </a:xfrm>
                <a:prstGeom prst="roundRect">
                  <a:avLst/>
                </a:prstGeom>
                <a:grpFill/>
                <a:ln w="38100">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b"/>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1" i="0" u="none" strike="noStrike" kern="0" cap="none" spc="0" normalizeH="0" baseline="0" noProof="0">
                      <a:ln>
                        <a:noFill/>
                      </a:ln>
                      <a:solidFill>
                        <a:prstClr val="black"/>
                      </a:solidFill>
                      <a:effectLst/>
                      <a:uLnTx/>
                      <a:uFillTx/>
                      <a:latin typeface="Sora" pitchFamily="2" charset="0"/>
                      <a:ea typeface="+mn-ea"/>
                      <a:cs typeface="Sora" pitchFamily="2" charset="0"/>
                    </a:rPr>
                    <a:t>E. situación financiera</a:t>
                  </a:r>
                </a:p>
              </xdr:txBody>
            </xdr:sp>
            <xdr:pic>
              <xdr:nvPicPr>
                <xdr:cNvPr id="42" name="Imagen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38"/>
                <a:stretch>
                  <a:fillRect/>
                </a:stretch>
              </xdr:blipFill>
              <xdr:spPr>
                <a:xfrm>
                  <a:off x="10907999" y="4324945"/>
                  <a:ext cx="540000" cy="540000"/>
                </a:xfrm>
                <a:prstGeom prst="rect">
                  <a:avLst/>
                </a:prstGeom>
                <a:grpFill/>
                <a:ln>
                  <a:noFill/>
                </a:ln>
              </xdr:spPr>
            </xdr:pic>
          </xdr:grpSp>
        </xdr:grpSp>
        <xdr:sp macro="" textlink="">
          <xdr:nvSpPr>
            <xdr:cNvPr id="11" name="Rectángulo: esquinas redondeadas 10">
              <a:extLst>
                <a:ext uri="{FF2B5EF4-FFF2-40B4-BE49-F238E27FC236}">
                  <a16:creationId xmlns:a16="http://schemas.microsoft.com/office/drawing/2014/main" id="{00000000-0008-0000-0900-00000B000000}"/>
                </a:ext>
              </a:extLst>
            </xdr:cNvPr>
            <xdr:cNvSpPr/>
          </xdr:nvSpPr>
          <xdr:spPr>
            <a:xfrm>
              <a:off x="11149709" y="4091389"/>
              <a:ext cx="5066276" cy="469010"/>
            </a:xfrm>
            <a:prstGeom prst="roundRect">
              <a:avLst/>
            </a:prstGeom>
            <a:solidFill>
              <a:srgbClr val="A2EAE8"/>
            </a:solidFill>
            <a:ln w="38100">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black"/>
                  </a:solidFill>
                  <a:effectLst/>
                  <a:uLnTx/>
                  <a:uFillTx/>
                  <a:latin typeface="Sora" pitchFamily="2" charset="0"/>
                  <a:ea typeface="+mn-ea"/>
                  <a:cs typeface="Sora" pitchFamily="2" charset="0"/>
                </a:rPr>
                <a:t>Módulo de análisis financiero</a:t>
              </a:r>
            </a:p>
          </xdr:txBody>
        </xdr:sp>
      </xdr:grpSp>
    </xdr:grpSp>
    <xdr:clientData/>
  </xdr:twoCellAnchor>
  <xdr:twoCellAnchor>
    <xdr:from>
      <xdr:col>5</xdr:col>
      <xdr:colOff>0</xdr:colOff>
      <xdr:row>37</xdr:row>
      <xdr:rowOff>90715</xdr:rowOff>
    </xdr:from>
    <xdr:to>
      <xdr:col>19</xdr:col>
      <xdr:colOff>29285</xdr:colOff>
      <xdr:row>39</xdr:row>
      <xdr:rowOff>166477</xdr:rowOff>
    </xdr:to>
    <xdr:grpSp>
      <xdr:nvGrpSpPr>
        <xdr:cNvPr id="2" name="Grupo 1">
          <a:extLst>
            <a:ext uri="{FF2B5EF4-FFF2-40B4-BE49-F238E27FC236}">
              <a16:creationId xmlns:a16="http://schemas.microsoft.com/office/drawing/2014/main" id="{840E3C72-DFDA-4BAB-B0AB-F920E8A46354}"/>
            </a:ext>
          </a:extLst>
        </xdr:cNvPr>
        <xdr:cNvGrpSpPr/>
      </xdr:nvGrpSpPr>
      <xdr:grpSpPr>
        <a:xfrm>
          <a:off x="3996765" y="7001009"/>
          <a:ext cx="11220226" cy="449292"/>
          <a:chOff x="3769006" y="6745413"/>
          <a:chExt cx="10708122" cy="468930"/>
        </a:xfrm>
      </xdr:grpSpPr>
      <xdr:pic>
        <xdr:nvPicPr>
          <xdr:cNvPr id="75" name="Imagen 74">
            <a:extLst>
              <a:ext uri="{FF2B5EF4-FFF2-40B4-BE49-F238E27FC236}">
                <a16:creationId xmlns:a16="http://schemas.microsoft.com/office/drawing/2014/main" id="{47ECF09F-B88F-0F57-AAE4-2C2CDD99336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xdr:blipFill>
        <xdr:spPr>
          <a:xfrm>
            <a:off x="3769006" y="6916377"/>
            <a:ext cx="883605" cy="190904"/>
          </a:xfrm>
          <a:prstGeom prst="rect">
            <a:avLst/>
          </a:prstGeom>
        </xdr:spPr>
      </xdr:pic>
      <xdr:pic>
        <xdr:nvPicPr>
          <xdr:cNvPr id="77" name="Imagen 76">
            <a:extLst>
              <a:ext uri="{FF2B5EF4-FFF2-40B4-BE49-F238E27FC236}">
                <a16:creationId xmlns:a16="http://schemas.microsoft.com/office/drawing/2014/main" id="{A45EB3B9-5CA1-56C4-E022-8A2B5BBE570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xdr:blipFill>
        <xdr:spPr>
          <a:xfrm>
            <a:off x="5266811" y="6870565"/>
            <a:ext cx="959450" cy="282528"/>
          </a:xfrm>
          <a:prstGeom prst="rect">
            <a:avLst/>
          </a:prstGeom>
        </xdr:spPr>
      </xdr:pic>
      <xdr:pic>
        <xdr:nvPicPr>
          <xdr:cNvPr id="78" name="Imagen 77">
            <a:extLst>
              <a:ext uri="{FF2B5EF4-FFF2-40B4-BE49-F238E27FC236}">
                <a16:creationId xmlns:a16="http://schemas.microsoft.com/office/drawing/2014/main" id="{5529315A-7D2A-2C21-4C4D-D96538A3E1B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xdr:blipFill>
        <xdr:spPr>
          <a:xfrm>
            <a:off x="6976102" y="6809315"/>
            <a:ext cx="852515" cy="405028"/>
          </a:xfrm>
          <a:prstGeom prst="rect">
            <a:avLst/>
          </a:prstGeom>
        </xdr:spPr>
      </xdr:pic>
      <xdr:pic>
        <xdr:nvPicPr>
          <xdr:cNvPr id="79" name="Imagen 78">
            <a:extLst>
              <a:ext uri="{FF2B5EF4-FFF2-40B4-BE49-F238E27FC236}">
                <a16:creationId xmlns:a16="http://schemas.microsoft.com/office/drawing/2014/main" id="{7E9BFCFB-4AA4-58FC-A2A7-7FBE53B5FA8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8692689" y="6891067"/>
            <a:ext cx="852516" cy="241525"/>
          </a:xfrm>
          <a:prstGeom prst="rect">
            <a:avLst/>
          </a:prstGeom>
        </xdr:spPr>
      </xdr:pic>
      <xdr:pic>
        <xdr:nvPicPr>
          <xdr:cNvPr id="80" name="Imagen 79">
            <a:extLst>
              <a:ext uri="{FF2B5EF4-FFF2-40B4-BE49-F238E27FC236}">
                <a16:creationId xmlns:a16="http://schemas.microsoft.com/office/drawing/2014/main" id="{39920649-038D-1DF7-0608-EDF410E7B2A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xdr:blipFill>
        <xdr:spPr>
          <a:xfrm>
            <a:off x="10444976" y="6745413"/>
            <a:ext cx="863704" cy="461854"/>
          </a:xfrm>
          <a:prstGeom prst="rect">
            <a:avLst/>
          </a:prstGeom>
        </xdr:spPr>
      </xdr:pic>
      <xdr:pic>
        <xdr:nvPicPr>
          <xdr:cNvPr id="81" name="Imagen 80">
            <a:extLst>
              <a:ext uri="{FF2B5EF4-FFF2-40B4-BE49-F238E27FC236}">
                <a16:creationId xmlns:a16="http://schemas.microsoft.com/office/drawing/2014/main" id="{FEB2355C-B313-37AD-B35A-DEADFA7EA23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13660027" y="6891066"/>
            <a:ext cx="817101" cy="269415"/>
          </a:xfrm>
          <a:prstGeom prst="rect">
            <a:avLst/>
          </a:prstGeom>
        </xdr:spPr>
      </xdr:pic>
      <xdr:pic>
        <xdr:nvPicPr>
          <xdr:cNvPr id="82" name="Picture 2" descr="SER COLOMBIA – Asociación Energías Renovables">
            <a:extLst>
              <a:ext uri="{FF2B5EF4-FFF2-40B4-BE49-F238E27FC236}">
                <a16:creationId xmlns:a16="http://schemas.microsoft.com/office/drawing/2014/main" id="{37DEB550-1C6E-26E1-6614-55097C0842B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110656" y="6868002"/>
            <a:ext cx="913765" cy="287655"/>
          </a:xfrm>
          <a:prstGeom prst="rect">
            <a:avLst/>
          </a:prstGeom>
          <a:noFill/>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312420</xdr:colOff>
      <xdr:row>61</xdr:row>
      <xdr:rowOff>83820</xdr:rowOff>
    </xdr:from>
    <xdr:to>
      <xdr:col>17</xdr:col>
      <xdr:colOff>708660</xdr:colOff>
      <xdr:row>63</xdr:row>
      <xdr:rowOff>60960</xdr:rowOff>
    </xdr:to>
    <xdr:sp macro="" textlink="">
      <xdr:nvSpPr>
        <xdr:cNvPr id="2" name="Rectángulo: esquinas redondeadas 1">
          <a:hlinkClick xmlns:r="http://schemas.openxmlformats.org/officeDocument/2006/relationships" r:id="rId1" tooltip="MENÚ"/>
          <a:extLst>
            <a:ext uri="{FF2B5EF4-FFF2-40B4-BE49-F238E27FC236}">
              <a16:creationId xmlns:a16="http://schemas.microsoft.com/office/drawing/2014/main" id="{00000000-0008-0000-0A00-000002000000}"/>
            </a:ext>
          </a:extLst>
        </xdr:cNvPr>
        <xdr:cNvSpPr/>
      </xdr:nvSpPr>
      <xdr:spPr>
        <a:xfrm>
          <a:off x="12992100" y="113004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twoCellAnchor>
    <xdr:from>
      <xdr:col>16</xdr:col>
      <xdr:colOff>283883</xdr:colOff>
      <xdr:row>1</xdr:row>
      <xdr:rowOff>89647</xdr:rowOff>
    </xdr:from>
    <xdr:to>
      <xdr:col>17</xdr:col>
      <xdr:colOff>680123</xdr:colOff>
      <xdr:row>3</xdr:row>
      <xdr:rowOff>59317</xdr:rowOff>
    </xdr:to>
    <xdr:sp macro="" textlink="">
      <xdr:nvSpPr>
        <xdr:cNvPr id="3" name="Rectángulo: esquinas redondeadas 2">
          <a:hlinkClick xmlns:r="http://schemas.openxmlformats.org/officeDocument/2006/relationships" r:id="rId1" tooltip="MENÚ"/>
          <a:extLst>
            <a:ext uri="{FF2B5EF4-FFF2-40B4-BE49-F238E27FC236}">
              <a16:creationId xmlns:a16="http://schemas.microsoft.com/office/drawing/2014/main" id="{D7535589-6294-4787-AC06-1294204DB2C6}"/>
            </a:ext>
          </a:extLst>
        </xdr:cNvPr>
        <xdr:cNvSpPr/>
      </xdr:nvSpPr>
      <xdr:spPr>
        <a:xfrm>
          <a:off x="13073530" y="276412"/>
          <a:ext cx="1195593" cy="35814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198120</xdr:colOff>
      <xdr:row>21</xdr:row>
      <xdr:rowOff>22860</xdr:rowOff>
    </xdr:from>
    <xdr:to>
      <xdr:col>5</xdr:col>
      <xdr:colOff>396240</xdr:colOff>
      <xdr:row>31</xdr:row>
      <xdr:rowOff>99060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502920</xdr:colOff>
      <xdr:row>21</xdr:row>
      <xdr:rowOff>30480</xdr:rowOff>
    </xdr:from>
    <xdr:to>
      <xdr:col>11</xdr:col>
      <xdr:colOff>320040</xdr:colOff>
      <xdr:row>31</xdr:row>
      <xdr:rowOff>99060</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29460</xdr:colOff>
      <xdr:row>3</xdr:row>
      <xdr:rowOff>190500</xdr:rowOff>
    </xdr:from>
    <xdr:to>
      <xdr:col>17</xdr:col>
      <xdr:colOff>113280</xdr:colOff>
      <xdr:row>16</xdr:row>
      <xdr:rowOff>83820</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642340" y="838200"/>
          <a:ext cx="2461260" cy="2461260"/>
        </a:xfrm>
        <a:prstGeom prst="rect">
          <a:avLst/>
        </a:prstGeom>
        <a:solidFill>
          <a:schemeClr val="accent2">
            <a:lumMod val="75000"/>
          </a:schemeClr>
        </a:solidFill>
      </xdr:spPr>
    </xdr:pic>
    <xdr:clientData/>
  </xdr:twoCellAnchor>
  <xdr:twoCellAnchor>
    <xdr:from>
      <xdr:col>15</xdr:col>
      <xdr:colOff>472440</xdr:colOff>
      <xdr:row>30</xdr:row>
      <xdr:rowOff>7620</xdr:rowOff>
    </xdr:from>
    <xdr:to>
      <xdr:col>17</xdr:col>
      <xdr:colOff>76200</xdr:colOff>
      <xdr:row>31</xdr:row>
      <xdr:rowOff>175260</xdr:rowOff>
    </xdr:to>
    <xdr:sp macro="" textlink="">
      <xdr:nvSpPr>
        <xdr:cNvPr id="5" name="Rectángulo: esquinas redondeadas 4">
          <a:hlinkClick xmlns:r="http://schemas.openxmlformats.org/officeDocument/2006/relationships" r:id="rId4" tooltip="MENÚ"/>
          <a:extLst>
            <a:ext uri="{FF2B5EF4-FFF2-40B4-BE49-F238E27FC236}">
              <a16:creationId xmlns:a16="http://schemas.microsoft.com/office/drawing/2014/main" id="{00000000-0008-0000-0B00-000005000000}"/>
            </a:ext>
          </a:extLst>
        </xdr:cNvPr>
        <xdr:cNvSpPr/>
      </xdr:nvSpPr>
      <xdr:spPr>
        <a:xfrm>
          <a:off x="12771120" y="477774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777240</xdr:colOff>
      <xdr:row>19</xdr:row>
      <xdr:rowOff>76200</xdr:rowOff>
    </xdr:from>
    <xdr:to>
      <xdr:col>9</xdr:col>
      <xdr:colOff>15240</xdr:colOff>
      <xdr:row>27</xdr:row>
      <xdr:rowOff>106680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906780</xdr:colOff>
      <xdr:row>25</xdr:row>
      <xdr:rowOff>129540</xdr:rowOff>
    </xdr:from>
    <xdr:to>
      <xdr:col>13</xdr:col>
      <xdr:colOff>784860</xdr:colOff>
      <xdr:row>27</xdr:row>
      <xdr:rowOff>114300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0C00-000003000000}"/>
            </a:ext>
          </a:extLst>
        </xdr:cNvPr>
        <xdr:cNvSpPr/>
      </xdr:nvSpPr>
      <xdr:spPr>
        <a:xfrm>
          <a:off x="12862560" y="47853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167640</xdr:colOff>
      <xdr:row>19</xdr:row>
      <xdr:rowOff>114300</xdr:rowOff>
    </xdr:from>
    <xdr:to>
      <xdr:col>12</xdr:col>
      <xdr:colOff>30480</xdr:colOff>
      <xdr:row>29</xdr:row>
      <xdr:rowOff>83820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350520</xdr:colOff>
      <xdr:row>26</xdr:row>
      <xdr:rowOff>53340</xdr:rowOff>
    </xdr:from>
    <xdr:to>
      <xdr:col>14</xdr:col>
      <xdr:colOff>746760</xdr:colOff>
      <xdr:row>28</xdr:row>
      <xdr:rowOff>38100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1000-000003000000}"/>
            </a:ext>
          </a:extLst>
        </xdr:cNvPr>
        <xdr:cNvSpPr/>
      </xdr:nvSpPr>
      <xdr:spPr>
        <a:xfrm>
          <a:off x="12946380" y="48615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693420</xdr:colOff>
      <xdr:row>43</xdr:row>
      <xdr:rowOff>76200</xdr:rowOff>
    </xdr:from>
    <xdr:to>
      <xdr:col>11</xdr:col>
      <xdr:colOff>922020</xdr:colOff>
      <xdr:row>45</xdr:row>
      <xdr:rowOff>60960</xdr:rowOff>
    </xdr:to>
    <xdr:sp macro="" textlink="">
      <xdr:nvSpPr>
        <xdr:cNvPr id="2" name="Rectángulo: esquinas redondeadas 1">
          <a:hlinkClick xmlns:r="http://schemas.openxmlformats.org/officeDocument/2006/relationships" r:id="rId1" tooltip="MENÚ"/>
          <a:extLst>
            <a:ext uri="{FF2B5EF4-FFF2-40B4-BE49-F238E27FC236}">
              <a16:creationId xmlns:a16="http://schemas.microsoft.com/office/drawing/2014/main" id="{00000000-0008-0000-1100-000002000000}"/>
            </a:ext>
          </a:extLst>
        </xdr:cNvPr>
        <xdr:cNvSpPr/>
      </xdr:nvSpPr>
      <xdr:spPr>
        <a:xfrm>
          <a:off x="12656820" y="52425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twoCellAnchor editAs="oneCell">
    <xdr:from>
      <xdr:col>10</xdr:col>
      <xdr:colOff>693420</xdr:colOff>
      <xdr:row>39</xdr:row>
      <xdr:rowOff>137160</xdr:rowOff>
    </xdr:from>
    <xdr:to>
      <xdr:col>11</xdr:col>
      <xdr:colOff>273300</xdr:colOff>
      <xdr:row>42</xdr:row>
      <xdr:rowOff>120900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1757660" y="4556760"/>
          <a:ext cx="540000" cy="540000"/>
        </a:xfrm>
        <a:prstGeom prst="rect">
          <a:avLst/>
        </a:prstGeom>
      </xdr:spPr>
    </xdr:pic>
    <xdr:clientData/>
  </xdr:twoCellAnchor>
  <xdr:twoCellAnchor editAs="oneCell">
    <xdr:from>
      <xdr:col>3</xdr:col>
      <xdr:colOff>228600</xdr:colOff>
      <xdr:row>39</xdr:row>
      <xdr:rowOff>99060</xdr:rowOff>
    </xdr:from>
    <xdr:to>
      <xdr:col>3</xdr:col>
      <xdr:colOff>768600</xdr:colOff>
      <xdr:row>42</xdr:row>
      <xdr:rowOff>82800</xdr:rowOff>
    </xdr:to>
    <xdr:pic>
      <xdr:nvPicPr>
        <xdr:cNvPr id="5" name="Imagen 4">
          <a:extLst>
            <a:ext uri="{FF2B5EF4-FFF2-40B4-BE49-F238E27FC236}">
              <a16:creationId xmlns:a16="http://schemas.microsoft.com/office/drawing/2014/main" id="{5F2CEEA1-1B5A-454C-8032-25DEE06FECEE}"/>
            </a:ext>
          </a:extLst>
        </xdr:cNvPr>
        <xdr:cNvPicPr>
          <a:picLocks noChangeAspect="1"/>
        </xdr:cNvPicPr>
      </xdr:nvPicPr>
      <xdr:blipFill>
        <a:blip xmlns:r="http://schemas.openxmlformats.org/officeDocument/2006/relationships" r:embed="rId2"/>
        <a:stretch>
          <a:fillRect/>
        </a:stretch>
      </xdr:blipFill>
      <xdr:spPr>
        <a:xfrm>
          <a:off x="5471160" y="4518660"/>
          <a:ext cx="54000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68580</xdr:colOff>
      <xdr:row>13</xdr:row>
      <xdr:rowOff>68580</xdr:rowOff>
    </xdr:from>
    <xdr:to>
      <xdr:col>12</xdr:col>
      <xdr:colOff>22860</xdr:colOff>
      <xdr:row>28</xdr:row>
      <xdr:rowOff>68580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312420</xdr:colOff>
      <xdr:row>26</xdr:row>
      <xdr:rowOff>60960</xdr:rowOff>
    </xdr:from>
    <xdr:to>
      <xdr:col>15</xdr:col>
      <xdr:colOff>708660</xdr:colOff>
      <xdr:row>28</xdr:row>
      <xdr:rowOff>45720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1200-000003000000}"/>
            </a:ext>
          </a:extLst>
        </xdr:cNvPr>
        <xdr:cNvSpPr/>
      </xdr:nvSpPr>
      <xdr:spPr>
        <a:xfrm>
          <a:off x="12885420" y="483870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twoCellAnchor editAs="oneCell">
    <xdr:from>
      <xdr:col>13</xdr:col>
      <xdr:colOff>396240</xdr:colOff>
      <xdr:row>14</xdr:row>
      <xdr:rowOff>114300</xdr:rowOff>
    </xdr:from>
    <xdr:to>
      <xdr:col>15</xdr:col>
      <xdr:colOff>600960</xdr:colOff>
      <xdr:row>24</xdr:row>
      <xdr:rowOff>75180</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1902440" y="2697480"/>
          <a:ext cx="1789680" cy="17896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60960</xdr:colOff>
      <xdr:row>13</xdr:row>
      <xdr:rowOff>53340</xdr:rowOff>
    </xdr:from>
    <xdr:to>
      <xdr:col>6</xdr:col>
      <xdr:colOff>758190</xdr:colOff>
      <xdr:row>21</xdr:row>
      <xdr:rowOff>91440</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939540" y="2453640"/>
          <a:ext cx="1508760" cy="1508760"/>
        </a:xfrm>
        <a:prstGeom prst="rect">
          <a:avLst/>
        </a:prstGeom>
      </xdr:spPr>
    </xdr:pic>
    <xdr:clientData/>
  </xdr:twoCellAnchor>
  <xdr:twoCellAnchor editAs="oneCell">
    <xdr:from>
      <xdr:col>7</xdr:col>
      <xdr:colOff>762000</xdr:colOff>
      <xdr:row>13</xdr:row>
      <xdr:rowOff>106680</xdr:rowOff>
    </xdr:from>
    <xdr:to>
      <xdr:col>9</xdr:col>
      <xdr:colOff>685440</xdr:colOff>
      <xdr:row>21</xdr:row>
      <xdr:rowOff>144420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6225540" y="2506980"/>
          <a:ext cx="1508400" cy="1508400"/>
        </a:xfrm>
        <a:prstGeom prst="rect">
          <a:avLst/>
        </a:prstGeom>
      </xdr:spPr>
    </xdr:pic>
    <xdr:clientData/>
  </xdr:twoCellAnchor>
  <xdr:twoCellAnchor editAs="oneCell">
    <xdr:from>
      <xdr:col>10</xdr:col>
      <xdr:colOff>762000</xdr:colOff>
      <xdr:row>13</xdr:row>
      <xdr:rowOff>30480</xdr:rowOff>
    </xdr:from>
    <xdr:to>
      <xdr:col>12</xdr:col>
      <xdr:colOff>685440</xdr:colOff>
      <xdr:row>21</xdr:row>
      <xdr:rowOff>68220</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8602980" y="2430780"/>
          <a:ext cx="1508400" cy="1508400"/>
        </a:xfrm>
        <a:prstGeom prst="rect">
          <a:avLst/>
        </a:prstGeom>
      </xdr:spPr>
    </xdr:pic>
    <xdr:clientData/>
  </xdr:twoCellAnchor>
  <xdr:twoCellAnchor>
    <xdr:from>
      <xdr:col>16</xdr:col>
      <xdr:colOff>274320</xdr:colOff>
      <xdr:row>26</xdr:row>
      <xdr:rowOff>15240</xdr:rowOff>
    </xdr:from>
    <xdr:to>
      <xdr:col>17</xdr:col>
      <xdr:colOff>670560</xdr:colOff>
      <xdr:row>27</xdr:row>
      <xdr:rowOff>182880</xdr:rowOff>
    </xdr:to>
    <xdr:sp macro="" textlink="">
      <xdr:nvSpPr>
        <xdr:cNvPr id="5" name="Rectángulo: esquinas redondeadas 4">
          <a:hlinkClick xmlns:r="http://schemas.openxmlformats.org/officeDocument/2006/relationships" r:id="rId4" tooltip="MENÚ"/>
          <a:extLst>
            <a:ext uri="{FF2B5EF4-FFF2-40B4-BE49-F238E27FC236}">
              <a16:creationId xmlns:a16="http://schemas.microsoft.com/office/drawing/2014/main" id="{00000000-0008-0000-1300-000005000000}"/>
            </a:ext>
          </a:extLst>
        </xdr:cNvPr>
        <xdr:cNvSpPr/>
      </xdr:nvSpPr>
      <xdr:spPr>
        <a:xfrm>
          <a:off x="12870180" y="48234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304800</xdr:colOff>
      <xdr:row>3</xdr:row>
      <xdr:rowOff>83820</xdr:rowOff>
    </xdr:from>
    <xdr:to>
      <xdr:col>6</xdr:col>
      <xdr:colOff>746760</xdr:colOff>
      <xdr:row>10</xdr:row>
      <xdr:rowOff>38100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884420" y="640080"/>
          <a:ext cx="1234440" cy="1234440"/>
        </a:xfrm>
        <a:prstGeom prst="rect">
          <a:avLst/>
        </a:prstGeom>
      </xdr:spPr>
    </xdr:pic>
    <xdr:clientData/>
  </xdr:twoCellAnchor>
  <xdr:twoCellAnchor editAs="oneCell">
    <xdr:from>
      <xdr:col>8</xdr:col>
      <xdr:colOff>137160</xdr:colOff>
      <xdr:row>3</xdr:row>
      <xdr:rowOff>83820</xdr:rowOff>
    </xdr:from>
    <xdr:to>
      <xdr:col>9</xdr:col>
      <xdr:colOff>579480</xdr:colOff>
      <xdr:row>10</xdr:row>
      <xdr:rowOff>38460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094220" y="640080"/>
          <a:ext cx="1234800" cy="1234800"/>
        </a:xfrm>
        <a:prstGeom prst="rect">
          <a:avLst/>
        </a:prstGeom>
      </xdr:spPr>
    </xdr:pic>
    <xdr:clientData/>
  </xdr:twoCellAnchor>
  <xdr:twoCellAnchor editAs="oneCell">
    <xdr:from>
      <xdr:col>11</xdr:col>
      <xdr:colOff>137160</xdr:colOff>
      <xdr:row>3</xdr:row>
      <xdr:rowOff>22860</xdr:rowOff>
    </xdr:from>
    <xdr:to>
      <xdr:col>12</xdr:col>
      <xdr:colOff>579480</xdr:colOff>
      <xdr:row>9</xdr:row>
      <xdr:rowOff>160380</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9471660" y="579120"/>
          <a:ext cx="1234800" cy="1234800"/>
        </a:xfrm>
        <a:prstGeom prst="rect">
          <a:avLst/>
        </a:prstGeom>
      </xdr:spPr>
    </xdr:pic>
    <xdr:clientData/>
  </xdr:twoCellAnchor>
  <xdr:twoCellAnchor editAs="oneCell">
    <xdr:from>
      <xdr:col>14</xdr:col>
      <xdr:colOff>152400</xdr:colOff>
      <xdr:row>3</xdr:row>
      <xdr:rowOff>114300</xdr:rowOff>
    </xdr:from>
    <xdr:to>
      <xdr:col>15</xdr:col>
      <xdr:colOff>594720</xdr:colOff>
      <xdr:row>10</xdr:row>
      <xdr:rowOff>68940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1864340" y="670560"/>
          <a:ext cx="1234800" cy="1234800"/>
        </a:xfrm>
        <a:prstGeom prst="rect">
          <a:avLst/>
        </a:prstGeom>
      </xdr:spPr>
    </xdr:pic>
    <xdr:clientData/>
  </xdr:twoCellAnchor>
  <xdr:twoCellAnchor>
    <xdr:from>
      <xdr:col>5</xdr:col>
      <xdr:colOff>7620</xdr:colOff>
      <xdr:row>13</xdr:row>
      <xdr:rowOff>152400</xdr:rowOff>
    </xdr:from>
    <xdr:to>
      <xdr:col>12</xdr:col>
      <xdr:colOff>769620</xdr:colOff>
      <xdr:row>27</xdr:row>
      <xdr:rowOff>38100</xdr:rowOff>
    </xdr:to>
    <xdr:graphicFrame macro="">
      <xdr:nvGraphicFramePr>
        <xdr:cNvPr id="6" name="Gráfico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182880</xdr:colOff>
      <xdr:row>25</xdr:row>
      <xdr:rowOff>144780</xdr:rowOff>
    </xdr:from>
    <xdr:to>
      <xdr:col>16</xdr:col>
      <xdr:colOff>579120</xdr:colOff>
      <xdr:row>27</xdr:row>
      <xdr:rowOff>121920</xdr:rowOff>
    </xdr:to>
    <xdr:sp macro="" textlink="">
      <xdr:nvSpPr>
        <xdr:cNvPr id="7" name="Rectángulo: esquinas redondeadas 6">
          <a:hlinkClick xmlns:r="http://schemas.openxmlformats.org/officeDocument/2006/relationships" r:id="rId6" tooltip="MENÚ"/>
          <a:extLst>
            <a:ext uri="{FF2B5EF4-FFF2-40B4-BE49-F238E27FC236}">
              <a16:creationId xmlns:a16="http://schemas.microsoft.com/office/drawing/2014/main" id="{00000000-0008-0000-1400-000007000000}"/>
            </a:ext>
          </a:extLst>
        </xdr:cNvPr>
        <xdr:cNvSpPr/>
      </xdr:nvSpPr>
      <xdr:spPr>
        <a:xfrm>
          <a:off x="12931140" y="477012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xdr:colOff>
      <xdr:row>10</xdr:row>
      <xdr:rowOff>167640</xdr:rowOff>
    </xdr:from>
    <xdr:to>
      <xdr:col>17</xdr:col>
      <xdr:colOff>7620</xdr:colOff>
      <xdr:row>26</xdr:row>
      <xdr:rowOff>167640</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99060</xdr:colOff>
      <xdr:row>27</xdr:row>
      <xdr:rowOff>60960</xdr:rowOff>
    </xdr:from>
    <xdr:to>
      <xdr:col>16</xdr:col>
      <xdr:colOff>365760</xdr:colOff>
      <xdr:row>29</xdr:row>
      <xdr:rowOff>45720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1700-000003000000}"/>
            </a:ext>
          </a:extLst>
        </xdr:cNvPr>
        <xdr:cNvSpPr/>
      </xdr:nvSpPr>
      <xdr:spPr>
        <a:xfrm>
          <a:off x="13075920" y="4922520"/>
          <a:ext cx="12268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O" sz="1600"/>
            <a:t>MENÚ</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655320</xdr:colOff>
      <xdr:row>3</xdr:row>
      <xdr:rowOff>15240</xdr:rowOff>
    </xdr:from>
    <xdr:to>
      <xdr:col>2</xdr:col>
      <xdr:colOff>403860</xdr:colOff>
      <xdr:row>10</xdr:row>
      <xdr:rowOff>45720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55320" y="571500"/>
          <a:ext cx="1333500" cy="1333500"/>
        </a:xfrm>
        <a:prstGeom prst="rect">
          <a:avLst/>
        </a:prstGeom>
      </xdr:spPr>
    </xdr:pic>
    <xdr:clientData/>
  </xdr:twoCellAnchor>
  <xdr:twoCellAnchor editAs="oneCell">
    <xdr:from>
      <xdr:col>0</xdr:col>
      <xdr:colOff>685800</xdr:colOff>
      <xdr:row>14</xdr:row>
      <xdr:rowOff>45720</xdr:rowOff>
    </xdr:from>
    <xdr:to>
      <xdr:col>2</xdr:col>
      <xdr:colOff>432840</xdr:colOff>
      <xdr:row>21</xdr:row>
      <xdr:rowOff>74700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85800" y="2628900"/>
          <a:ext cx="1332000" cy="1332000"/>
        </a:xfrm>
        <a:prstGeom prst="rect">
          <a:avLst/>
        </a:prstGeom>
      </xdr:spPr>
    </xdr:pic>
    <xdr:clientData/>
  </xdr:twoCellAnchor>
  <xdr:twoCellAnchor editAs="oneCell">
    <xdr:from>
      <xdr:col>6</xdr:col>
      <xdr:colOff>160020</xdr:colOff>
      <xdr:row>3</xdr:row>
      <xdr:rowOff>15240</xdr:rowOff>
    </xdr:from>
    <xdr:to>
      <xdr:col>7</xdr:col>
      <xdr:colOff>699540</xdr:colOff>
      <xdr:row>10</xdr:row>
      <xdr:rowOff>44220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4914900" y="571500"/>
          <a:ext cx="1332000" cy="1332000"/>
        </a:xfrm>
        <a:prstGeom prst="rect">
          <a:avLst/>
        </a:prstGeom>
      </xdr:spPr>
    </xdr:pic>
    <xdr:clientData/>
  </xdr:twoCellAnchor>
  <xdr:twoCellAnchor editAs="oneCell">
    <xdr:from>
      <xdr:col>6</xdr:col>
      <xdr:colOff>198120</xdr:colOff>
      <xdr:row>14</xdr:row>
      <xdr:rowOff>15240</xdr:rowOff>
    </xdr:from>
    <xdr:to>
      <xdr:col>7</xdr:col>
      <xdr:colOff>737640</xdr:colOff>
      <xdr:row>21</xdr:row>
      <xdr:rowOff>44220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4953000" y="2598420"/>
          <a:ext cx="1332000" cy="1332000"/>
        </a:xfrm>
        <a:prstGeom prst="rect">
          <a:avLst/>
        </a:prstGeom>
      </xdr:spPr>
    </xdr:pic>
    <xdr:clientData/>
  </xdr:twoCellAnchor>
  <xdr:twoCellAnchor editAs="oneCell">
    <xdr:from>
      <xdr:col>11</xdr:col>
      <xdr:colOff>563880</xdr:colOff>
      <xdr:row>2</xdr:row>
      <xdr:rowOff>53340</xdr:rowOff>
    </xdr:from>
    <xdr:to>
      <xdr:col>12</xdr:col>
      <xdr:colOff>455700</xdr:colOff>
      <xdr:row>5</xdr:row>
      <xdr:rowOff>173760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281160" y="426720"/>
          <a:ext cx="684300" cy="684300"/>
        </a:xfrm>
        <a:prstGeom prst="rect">
          <a:avLst/>
        </a:prstGeom>
      </xdr:spPr>
    </xdr:pic>
    <xdr:clientData/>
  </xdr:twoCellAnchor>
  <xdr:twoCellAnchor editAs="oneCell">
    <xdr:from>
      <xdr:col>11</xdr:col>
      <xdr:colOff>487680</xdr:colOff>
      <xdr:row>7</xdr:row>
      <xdr:rowOff>7620</xdr:rowOff>
    </xdr:from>
    <xdr:to>
      <xdr:col>12</xdr:col>
      <xdr:colOff>379200</xdr:colOff>
      <xdr:row>10</xdr:row>
      <xdr:rowOff>127740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9204960" y="1310640"/>
          <a:ext cx="684000" cy="684000"/>
        </a:xfrm>
        <a:prstGeom prst="rect">
          <a:avLst/>
        </a:prstGeom>
      </xdr:spPr>
    </xdr:pic>
    <xdr:clientData/>
  </xdr:twoCellAnchor>
  <xdr:twoCellAnchor editAs="oneCell">
    <xdr:from>
      <xdr:col>11</xdr:col>
      <xdr:colOff>556260</xdr:colOff>
      <xdr:row>11</xdr:row>
      <xdr:rowOff>152400</xdr:rowOff>
    </xdr:from>
    <xdr:to>
      <xdr:col>12</xdr:col>
      <xdr:colOff>447780</xdr:colOff>
      <xdr:row>15</xdr:row>
      <xdr:rowOff>89640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9273540" y="2209800"/>
          <a:ext cx="684000" cy="684000"/>
        </a:xfrm>
        <a:prstGeom prst="rect">
          <a:avLst/>
        </a:prstGeom>
      </xdr:spPr>
    </xdr:pic>
    <xdr:clientData/>
  </xdr:twoCellAnchor>
  <xdr:twoCellAnchor editAs="oneCell">
    <xdr:from>
      <xdr:col>11</xdr:col>
      <xdr:colOff>594360</xdr:colOff>
      <xdr:row>16</xdr:row>
      <xdr:rowOff>106680</xdr:rowOff>
    </xdr:from>
    <xdr:to>
      <xdr:col>12</xdr:col>
      <xdr:colOff>485880</xdr:colOff>
      <xdr:row>20</xdr:row>
      <xdr:rowOff>43920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9311640" y="3093720"/>
          <a:ext cx="684000" cy="684000"/>
        </a:xfrm>
        <a:prstGeom prst="rect">
          <a:avLst/>
        </a:prstGeom>
      </xdr:spPr>
    </xdr:pic>
    <xdr:clientData/>
  </xdr:twoCellAnchor>
  <xdr:twoCellAnchor editAs="oneCell">
    <xdr:from>
      <xdr:col>11</xdr:col>
      <xdr:colOff>632460</xdr:colOff>
      <xdr:row>21</xdr:row>
      <xdr:rowOff>38100</xdr:rowOff>
    </xdr:from>
    <xdr:to>
      <xdr:col>12</xdr:col>
      <xdr:colOff>523980</xdr:colOff>
      <xdr:row>24</xdr:row>
      <xdr:rowOff>158220</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9349740" y="3954780"/>
          <a:ext cx="684000" cy="684000"/>
        </a:xfrm>
        <a:prstGeom prst="rect">
          <a:avLst/>
        </a:prstGeom>
      </xdr:spPr>
    </xdr:pic>
    <xdr:clientData/>
  </xdr:twoCellAnchor>
  <xdr:twoCellAnchor>
    <xdr:from>
      <xdr:col>16</xdr:col>
      <xdr:colOff>91440</xdr:colOff>
      <xdr:row>25</xdr:row>
      <xdr:rowOff>83820</xdr:rowOff>
    </xdr:from>
    <xdr:to>
      <xdr:col>17</xdr:col>
      <xdr:colOff>487680</xdr:colOff>
      <xdr:row>27</xdr:row>
      <xdr:rowOff>60960</xdr:rowOff>
    </xdr:to>
    <xdr:sp macro="" textlink="">
      <xdr:nvSpPr>
        <xdr:cNvPr id="11" name="Rectángulo: esquinas redondeadas 10">
          <a:hlinkClick xmlns:r="http://schemas.openxmlformats.org/officeDocument/2006/relationships" r:id="rId10" tooltip="MENÚ"/>
          <a:extLst>
            <a:ext uri="{FF2B5EF4-FFF2-40B4-BE49-F238E27FC236}">
              <a16:creationId xmlns:a16="http://schemas.microsoft.com/office/drawing/2014/main" id="{00000000-0008-0000-0100-00000B000000}"/>
            </a:ext>
          </a:extLst>
        </xdr:cNvPr>
        <xdr:cNvSpPr/>
      </xdr:nvSpPr>
      <xdr:spPr>
        <a:xfrm>
          <a:off x="12771120" y="47472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9</xdr:col>
      <xdr:colOff>541688</xdr:colOff>
      <xdr:row>36</xdr:row>
      <xdr:rowOff>114770</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547360" y="1470660"/>
          <a:ext cx="7704488" cy="54182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38100</xdr:colOff>
      <xdr:row>2</xdr:row>
      <xdr:rowOff>182880</xdr:rowOff>
    </xdr:from>
    <xdr:to>
      <xdr:col>7</xdr:col>
      <xdr:colOff>7620</xdr:colOff>
      <xdr:row>23</xdr:row>
      <xdr:rowOff>7620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739140</xdr:colOff>
      <xdr:row>26</xdr:row>
      <xdr:rowOff>38100</xdr:rowOff>
    </xdr:from>
    <xdr:to>
      <xdr:col>7</xdr:col>
      <xdr:colOff>342900</xdr:colOff>
      <xdr:row>28</xdr:row>
      <xdr:rowOff>22860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1D00-000003000000}"/>
            </a:ext>
          </a:extLst>
        </xdr:cNvPr>
        <xdr:cNvSpPr/>
      </xdr:nvSpPr>
      <xdr:spPr>
        <a:xfrm>
          <a:off x="12893040" y="483108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989580</xdr:colOff>
      <xdr:row>23</xdr:row>
      <xdr:rowOff>75180</xdr:rowOff>
    </xdr:from>
    <xdr:to>
      <xdr:col>0</xdr:col>
      <xdr:colOff>1851660</xdr:colOff>
      <xdr:row>28</xdr:row>
      <xdr:rowOff>22860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89580" y="4327140"/>
          <a:ext cx="862080" cy="862080"/>
        </a:xfrm>
        <a:prstGeom prst="rect">
          <a:avLst/>
        </a:prstGeom>
      </xdr:spPr>
    </xdr:pic>
    <xdr:clientData/>
  </xdr:twoCellAnchor>
  <xdr:twoCellAnchor>
    <xdr:from>
      <xdr:col>3</xdr:col>
      <xdr:colOff>0</xdr:colOff>
      <xdr:row>19</xdr:row>
      <xdr:rowOff>7620</xdr:rowOff>
    </xdr:from>
    <xdr:to>
      <xdr:col>10</xdr:col>
      <xdr:colOff>464820</xdr:colOff>
      <xdr:row>28</xdr:row>
      <xdr:rowOff>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25</xdr:row>
      <xdr:rowOff>167640</xdr:rowOff>
    </xdr:from>
    <xdr:to>
      <xdr:col>12</xdr:col>
      <xdr:colOff>594360</xdr:colOff>
      <xdr:row>27</xdr:row>
      <xdr:rowOff>152400</xdr:rowOff>
    </xdr:to>
    <xdr:sp macro="" textlink="">
      <xdr:nvSpPr>
        <xdr:cNvPr id="4" name="Rectángulo: esquinas redondeadas 3">
          <a:hlinkClick xmlns:r="http://schemas.openxmlformats.org/officeDocument/2006/relationships" r:id="rId3" tooltip="MENÚ"/>
          <a:extLst>
            <a:ext uri="{FF2B5EF4-FFF2-40B4-BE49-F238E27FC236}">
              <a16:creationId xmlns:a16="http://schemas.microsoft.com/office/drawing/2014/main" id="{00000000-0008-0000-0200-000004000000}"/>
            </a:ext>
          </a:extLst>
        </xdr:cNvPr>
        <xdr:cNvSpPr/>
      </xdr:nvSpPr>
      <xdr:spPr>
        <a:xfrm>
          <a:off x="12656820" y="4785360"/>
          <a:ext cx="140208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twoCellAnchor>
    <xdr:from>
      <xdr:col>11</xdr:col>
      <xdr:colOff>113280</xdr:colOff>
      <xdr:row>3</xdr:row>
      <xdr:rowOff>82800</xdr:rowOff>
    </xdr:from>
    <xdr:to>
      <xdr:col>14</xdr:col>
      <xdr:colOff>37080</xdr:colOff>
      <xdr:row>13</xdr:row>
      <xdr:rowOff>21840</xdr:rowOff>
    </xdr:to>
    <xdr:graphicFrame macro="">
      <xdr:nvGraphicFramePr>
        <xdr:cNvPr id="5" name="Gráfico 4">
          <a:extLst>
            <a:ext uri="{FF2B5EF4-FFF2-40B4-BE49-F238E27FC236}">
              <a16:creationId xmlns:a16="http://schemas.microsoft.com/office/drawing/2014/main" id="{36C2105A-C98D-4238-AD7F-474407564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xdr:row>
      <xdr:rowOff>106680</xdr:rowOff>
    </xdr:from>
    <xdr:to>
      <xdr:col>1</xdr:col>
      <xdr:colOff>365760</xdr:colOff>
      <xdr:row>6</xdr:row>
      <xdr:rowOff>60960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441960"/>
          <a:ext cx="891540" cy="891540"/>
        </a:xfrm>
        <a:prstGeom prst="rect">
          <a:avLst/>
        </a:prstGeom>
      </xdr:spPr>
    </xdr:pic>
    <xdr:clientData/>
  </xdr:twoCellAnchor>
  <xdr:twoCellAnchor editAs="oneCell">
    <xdr:from>
      <xdr:col>0</xdr:col>
      <xdr:colOff>274320</xdr:colOff>
      <xdr:row>7</xdr:row>
      <xdr:rowOff>91440</xdr:rowOff>
    </xdr:from>
    <xdr:to>
      <xdr:col>1</xdr:col>
      <xdr:colOff>374640</xdr:colOff>
      <xdr:row>12</xdr:row>
      <xdr:rowOff>46980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74320" y="1546860"/>
          <a:ext cx="892800" cy="892800"/>
        </a:xfrm>
        <a:prstGeom prst="rect">
          <a:avLst/>
        </a:prstGeom>
      </xdr:spPr>
    </xdr:pic>
    <xdr:clientData/>
  </xdr:twoCellAnchor>
  <xdr:twoCellAnchor editAs="oneCell">
    <xdr:from>
      <xdr:col>0</xdr:col>
      <xdr:colOff>266700</xdr:colOff>
      <xdr:row>13</xdr:row>
      <xdr:rowOff>121920</xdr:rowOff>
    </xdr:from>
    <xdr:to>
      <xdr:col>1</xdr:col>
      <xdr:colOff>367020</xdr:colOff>
      <xdr:row>18</xdr:row>
      <xdr:rowOff>85080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266700" y="2697480"/>
          <a:ext cx="892800" cy="892800"/>
        </a:xfrm>
        <a:prstGeom prst="rect">
          <a:avLst/>
        </a:prstGeom>
      </xdr:spPr>
    </xdr:pic>
    <xdr:clientData/>
  </xdr:twoCellAnchor>
  <xdr:twoCellAnchor editAs="oneCell">
    <xdr:from>
      <xdr:col>0</xdr:col>
      <xdr:colOff>327660</xdr:colOff>
      <xdr:row>19</xdr:row>
      <xdr:rowOff>121920</xdr:rowOff>
    </xdr:from>
    <xdr:to>
      <xdr:col>1</xdr:col>
      <xdr:colOff>427980</xdr:colOff>
      <xdr:row>24</xdr:row>
      <xdr:rowOff>85080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327660" y="3817620"/>
          <a:ext cx="892800" cy="892800"/>
        </a:xfrm>
        <a:prstGeom prst="rect">
          <a:avLst/>
        </a:prstGeom>
      </xdr:spPr>
    </xdr:pic>
    <xdr:clientData/>
  </xdr:twoCellAnchor>
  <xdr:twoCellAnchor>
    <xdr:from>
      <xdr:col>6</xdr:col>
      <xdr:colOff>53340</xdr:colOff>
      <xdr:row>8</xdr:row>
      <xdr:rowOff>38100</xdr:rowOff>
    </xdr:from>
    <xdr:to>
      <xdr:col>11</xdr:col>
      <xdr:colOff>716280</xdr:colOff>
      <xdr:row>15</xdr:row>
      <xdr:rowOff>152400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53340</xdr:colOff>
      <xdr:row>19</xdr:row>
      <xdr:rowOff>30480</xdr:rowOff>
    </xdr:from>
    <xdr:to>
      <xdr:col>11</xdr:col>
      <xdr:colOff>716280</xdr:colOff>
      <xdr:row>26</xdr:row>
      <xdr:rowOff>152400</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15240</xdr:colOff>
      <xdr:row>8</xdr:row>
      <xdr:rowOff>22860</xdr:rowOff>
    </xdr:from>
    <xdr:to>
      <xdr:col>16</xdr:col>
      <xdr:colOff>754380</xdr:colOff>
      <xdr:row>15</xdr:row>
      <xdr:rowOff>137160</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600960</xdr:colOff>
      <xdr:row>18</xdr:row>
      <xdr:rowOff>44700</xdr:rowOff>
    </xdr:from>
    <xdr:to>
      <xdr:col>15</xdr:col>
      <xdr:colOff>396240</xdr:colOff>
      <xdr:row>25</xdr:row>
      <xdr:rowOff>114300</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10903200" y="3565140"/>
          <a:ext cx="1380240" cy="1380240"/>
        </a:xfrm>
        <a:prstGeom prst="rect">
          <a:avLst/>
        </a:prstGeom>
      </xdr:spPr>
    </xdr:pic>
    <xdr:clientData/>
  </xdr:twoCellAnchor>
  <xdr:twoCellAnchor>
    <xdr:from>
      <xdr:col>15</xdr:col>
      <xdr:colOff>289560</xdr:colOff>
      <xdr:row>24</xdr:row>
      <xdr:rowOff>99060</xdr:rowOff>
    </xdr:from>
    <xdr:to>
      <xdr:col>16</xdr:col>
      <xdr:colOff>685800</xdr:colOff>
      <xdr:row>26</xdr:row>
      <xdr:rowOff>76200</xdr:rowOff>
    </xdr:to>
    <xdr:sp macro="" textlink="">
      <xdr:nvSpPr>
        <xdr:cNvPr id="13" name="Rectángulo: esquinas redondeadas 12">
          <a:hlinkClick xmlns:r="http://schemas.openxmlformats.org/officeDocument/2006/relationships" r:id="rId9" tooltip="MENÚ"/>
          <a:extLst>
            <a:ext uri="{FF2B5EF4-FFF2-40B4-BE49-F238E27FC236}">
              <a16:creationId xmlns:a16="http://schemas.microsoft.com/office/drawing/2014/main" id="{00000000-0008-0000-0300-00000D000000}"/>
            </a:ext>
          </a:extLst>
        </xdr:cNvPr>
        <xdr:cNvSpPr/>
      </xdr:nvSpPr>
      <xdr:spPr>
        <a:xfrm>
          <a:off x="12176760" y="473964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1127760</xdr:colOff>
      <xdr:row>170</xdr:row>
      <xdr:rowOff>22860</xdr:rowOff>
    </xdr:from>
    <xdr:to>
      <xdr:col>0</xdr:col>
      <xdr:colOff>1812060</xdr:colOff>
      <xdr:row>173</xdr:row>
      <xdr:rowOff>158520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27760" y="3192780"/>
          <a:ext cx="684300" cy="684300"/>
        </a:xfrm>
        <a:prstGeom prst="rect">
          <a:avLst/>
        </a:prstGeom>
      </xdr:spPr>
    </xdr:pic>
    <xdr:clientData/>
  </xdr:twoCellAnchor>
  <xdr:twoCellAnchor editAs="oneCell">
    <xdr:from>
      <xdr:col>0</xdr:col>
      <xdr:colOff>2324100</xdr:colOff>
      <xdr:row>170</xdr:row>
      <xdr:rowOff>38100</xdr:rowOff>
    </xdr:from>
    <xdr:to>
      <xdr:col>1</xdr:col>
      <xdr:colOff>577320</xdr:colOff>
      <xdr:row>173</xdr:row>
      <xdr:rowOff>173460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324100" y="3208020"/>
          <a:ext cx="684000" cy="684000"/>
        </a:xfrm>
        <a:prstGeom prst="rect">
          <a:avLst/>
        </a:prstGeom>
      </xdr:spPr>
    </xdr:pic>
    <xdr:clientData/>
  </xdr:twoCellAnchor>
  <xdr:twoCellAnchor editAs="oneCell">
    <xdr:from>
      <xdr:col>0</xdr:col>
      <xdr:colOff>3604260</xdr:colOff>
      <xdr:row>170</xdr:row>
      <xdr:rowOff>0</xdr:rowOff>
    </xdr:from>
    <xdr:to>
      <xdr:col>1</xdr:col>
      <xdr:colOff>684000</xdr:colOff>
      <xdr:row>173</xdr:row>
      <xdr:rowOff>135360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3604260" y="3169920"/>
          <a:ext cx="684000" cy="684000"/>
        </a:xfrm>
        <a:prstGeom prst="rect">
          <a:avLst/>
        </a:prstGeom>
      </xdr:spPr>
    </xdr:pic>
    <xdr:clientData/>
  </xdr:twoCellAnchor>
  <xdr:twoCellAnchor editAs="oneCell">
    <xdr:from>
      <xdr:col>2</xdr:col>
      <xdr:colOff>281940</xdr:colOff>
      <xdr:row>170</xdr:row>
      <xdr:rowOff>60960</xdr:rowOff>
    </xdr:from>
    <xdr:to>
      <xdr:col>3</xdr:col>
      <xdr:colOff>5820</xdr:colOff>
      <xdr:row>174</xdr:row>
      <xdr:rowOff>13440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4869180" y="3230880"/>
          <a:ext cx="684000" cy="684000"/>
        </a:xfrm>
        <a:prstGeom prst="rect">
          <a:avLst/>
        </a:prstGeom>
      </xdr:spPr>
    </xdr:pic>
    <xdr:clientData/>
  </xdr:twoCellAnchor>
  <xdr:twoCellAnchor editAs="oneCell">
    <xdr:from>
      <xdr:col>3</xdr:col>
      <xdr:colOff>708660</xdr:colOff>
      <xdr:row>170</xdr:row>
      <xdr:rowOff>15240</xdr:rowOff>
    </xdr:from>
    <xdr:to>
      <xdr:col>4</xdr:col>
      <xdr:colOff>432540</xdr:colOff>
      <xdr:row>173</xdr:row>
      <xdr:rowOff>150600</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149340" y="3185160"/>
          <a:ext cx="684000" cy="684000"/>
        </a:xfrm>
        <a:prstGeom prst="rect">
          <a:avLst/>
        </a:prstGeom>
      </xdr:spPr>
    </xdr:pic>
    <xdr:clientData/>
  </xdr:twoCellAnchor>
  <xdr:twoCellAnchor>
    <xdr:from>
      <xdr:col>10</xdr:col>
      <xdr:colOff>510540</xdr:colOff>
      <xdr:row>178</xdr:row>
      <xdr:rowOff>83820</xdr:rowOff>
    </xdr:from>
    <xdr:to>
      <xdr:col>11</xdr:col>
      <xdr:colOff>845820</xdr:colOff>
      <xdr:row>180</xdr:row>
      <xdr:rowOff>68580</xdr:rowOff>
    </xdr:to>
    <xdr:sp macro="" textlink="">
      <xdr:nvSpPr>
        <xdr:cNvPr id="7" name="Rectángulo: esquinas redondeadas 6">
          <a:hlinkClick xmlns:r="http://schemas.openxmlformats.org/officeDocument/2006/relationships" r:id="rId6" tooltip="MENÚ"/>
          <a:extLst>
            <a:ext uri="{FF2B5EF4-FFF2-40B4-BE49-F238E27FC236}">
              <a16:creationId xmlns:a16="http://schemas.microsoft.com/office/drawing/2014/main" id="{00000000-0008-0000-0400-000007000000}"/>
            </a:ext>
          </a:extLst>
        </xdr:cNvPr>
        <xdr:cNvSpPr/>
      </xdr:nvSpPr>
      <xdr:spPr>
        <a:xfrm>
          <a:off x="12352020" y="471678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30480</xdr:colOff>
      <xdr:row>4</xdr:row>
      <xdr:rowOff>182880</xdr:rowOff>
    </xdr:from>
    <xdr:to>
      <xdr:col>6</xdr:col>
      <xdr:colOff>754380</xdr:colOff>
      <xdr:row>17</xdr:row>
      <xdr:rowOff>38100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99060</xdr:colOff>
      <xdr:row>4</xdr:row>
      <xdr:rowOff>53340</xdr:rowOff>
    </xdr:from>
    <xdr:to>
      <xdr:col>13</xdr:col>
      <xdr:colOff>739140</xdr:colOff>
      <xdr:row>17</xdr:row>
      <xdr:rowOff>22860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289560</xdr:colOff>
      <xdr:row>25</xdr:row>
      <xdr:rowOff>83820</xdr:rowOff>
    </xdr:from>
    <xdr:to>
      <xdr:col>13</xdr:col>
      <xdr:colOff>685800</xdr:colOff>
      <xdr:row>27</xdr:row>
      <xdr:rowOff>68580</xdr:rowOff>
    </xdr:to>
    <xdr:sp macro="" textlink="">
      <xdr:nvSpPr>
        <xdr:cNvPr id="4" name="Rectángulo: esquinas redondeadas 3">
          <a:hlinkClick xmlns:r="http://schemas.openxmlformats.org/officeDocument/2006/relationships" r:id="rId3" tooltip="MENÚ"/>
          <a:extLst>
            <a:ext uri="{FF2B5EF4-FFF2-40B4-BE49-F238E27FC236}">
              <a16:creationId xmlns:a16="http://schemas.microsoft.com/office/drawing/2014/main" id="{00000000-0008-0000-0500-000004000000}"/>
            </a:ext>
          </a:extLst>
        </xdr:cNvPr>
        <xdr:cNvSpPr/>
      </xdr:nvSpPr>
      <xdr:spPr>
        <a:xfrm>
          <a:off x="12321540" y="471678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twoCellAnchor editAs="oneCell">
    <xdr:from>
      <xdr:col>7</xdr:col>
      <xdr:colOff>670560</xdr:colOff>
      <xdr:row>10</xdr:row>
      <xdr:rowOff>175260</xdr:rowOff>
    </xdr:from>
    <xdr:to>
      <xdr:col>8</xdr:col>
      <xdr:colOff>250440</xdr:colOff>
      <xdr:row>16</xdr:row>
      <xdr:rowOff>174240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7170420" y="2034540"/>
          <a:ext cx="1096260" cy="1096260"/>
        </a:xfrm>
        <a:prstGeom prst="rect">
          <a:avLst/>
        </a:prstGeom>
      </xdr:spPr>
    </xdr:pic>
    <xdr:clientData/>
  </xdr:twoCellAnchor>
  <xdr:twoCellAnchor editAs="oneCell">
    <xdr:from>
      <xdr:col>0</xdr:col>
      <xdr:colOff>640080</xdr:colOff>
      <xdr:row>11</xdr:row>
      <xdr:rowOff>60960</xdr:rowOff>
    </xdr:from>
    <xdr:to>
      <xdr:col>1</xdr:col>
      <xdr:colOff>219960</xdr:colOff>
      <xdr:row>17</xdr:row>
      <xdr:rowOff>59940</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40080" y="2110740"/>
          <a:ext cx="1096260" cy="10962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3</xdr:row>
      <xdr:rowOff>67560</xdr:rowOff>
    </xdr:from>
    <xdr:to>
      <xdr:col>2</xdr:col>
      <xdr:colOff>411480</xdr:colOff>
      <xdr:row>12</xdr:row>
      <xdr:rowOff>67560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04800" y="631440"/>
          <a:ext cx="1691640" cy="1691640"/>
        </a:xfrm>
        <a:prstGeom prst="rect">
          <a:avLst/>
        </a:prstGeom>
      </xdr:spPr>
    </xdr:pic>
    <xdr:clientData/>
  </xdr:twoCellAnchor>
  <xdr:twoCellAnchor>
    <xdr:from>
      <xdr:col>16</xdr:col>
      <xdr:colOff>144780</xdr:colOff>
      <xdr:row>25</xdr:row>
      <xdr:rowOff>76200</xdr:rowOff>
    </xdr:from>
    <xdr:to>
      <xdr:col>17</xdr:col>
      <xdr:colOff>541020</xdr:colOff>
      <xdr:row>27</xdr:row>
      <xdr:rowOff>53340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0600-000003000000}"/>
            </a:ext>
          </a:extLst>
        </xdr:cNvPr>
        <xdr:cNvSpPr/>
      </xdr:nvSpPr>
      <xdr:spPr>
        <a:xfrm>
          <a:off x="12824460" y="475488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99060</xdr:colOff>
      <xdr:row>3</xdr:row>
      <xdr:rowOff>68580</xdr:rowOff>
    </xdr:from>
    <xdr:to>
      <xdr:col>16</xdr:col>
      <xdr:colOff>127380</xdr:colOff>
      <xdr:row>7</xdr:row>
      <xdr:rowOff>142620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986260" y="624840"/>
          <a:ext cx="820800" cy="820800"/>
        </a:xfrm>
        <a:prstGeom prst="rect">
          <a:avLst/>
        </a:prstGeom>
      </xdr:spPr>
    </xdr:pic>
    <xdr:clientData/>
  </xdr:twoCellAnchor>
  <xdr:twoCellAnchor editAs="oneCell">
    <xdr:from>
      <xdr:col>15</xdr:col>
      <xdr:colOff>198120</xdr:colOff>
      <xdr:row>11</xdr:row>
      <xdr:rowOff>53340</xdr:rowOff>
    </xdr:from>
    <xdr:to>
      <xdr:col>16</xdr:col>
      <xdr:colOff>227580</xdr:colOff>
      <xdr:row>15</xdr:row>
      <xdr:rowOff>128520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085320" y="2362200"/>
          <a:ext cx="821940" cy="821940"/>
        </a:xfrm>
        <a:prstGeom prst="rect">
          <a:avLst/>
        </a:prstGeom>
      </xdr:spPr>
    </xdr:pic>
    <xdr:clientData/>
  </xdr:twoCellAnchor>
  <xdr:twoCellAnchor>
    <xdr:from>
      <xdr:col>16</xdr:col>
      <xdr:colOff>160020</xdr:colOff>
      <xdr:row>24</xdr:row>
      <xdr:rowOff>38100</xdr:rowOff>
    </xdr:from>
    <xdr:to>
      <xdr:col>17</xdr:col>
      <xdr:colOff>556260</xdr:colOff>
      <xdr:row>26</xdr:row>
      <xdr:rowOff>15240</xdr:rowOff>
    </xdr:to>
    <xdr:sp macro="" textlink="">
      <xdr:nvSpPr>
        <xdr:cNvPr id="4" name="Rectángulo: esquinas redondeadas 3">
          <a:hlinkClick xmlns:r="http://schemas.openxmlformats.org/officeDocument/2006/relationships" r:id="rId3" tooltip="MENÚ"/>
          <a:extLst>
            <a:ext uri="{FF2B5EF4-FFF2-40B4-BE49-F238E27FC236}">
              <a16:creationId xmlns:a16="http://schemas.microsoft.com/office/drawing/2014/main" id="{00000000-0008-0000-0700-000004000000}"/>
            </a:ext>
          </a:extLst>
        </xdr:cNvPr>
        <xdr:cNvSpPr/>
      </xdr:nvSpPr>
      <xdr:spPr>
        <a:xfrm>
          <a:off x="12839700" y="478536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45720</xdr:colOff>
      <xdr:row>12</xdr:row>
      <xdr:rowOff>167640</xdr:rowOff>
    </xdr:from>
    <xdr:to>
      <xdr:col>6</xdr:col>
      <xdr:colOff>762000</xdr:colOff>
      <xdr:row>27</xdr:row>
      <xdr:rowOff>7620</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876300</xdr:colOff>
      <xdr:row>25</xdr:row>
      <xdr:rowOff>129540</xdr:rowOff>
    </xdr:from>
    <xdr:to>
      <xdr:col>12</xdr:col>
      <xdr:colOff>312420</xdr:colOff>
      <xdr:row>27</xdr:row>
      <xdr:rowOff>106680</xdr:rowOff>
    </xdr:to>
    <xdr:sp macro="" textlink="">
      <xdr:nvSpPr>
        <xdr:cNvPr id="3" name="Rectángulo: esquinas redondeadas 2">
          <a:hlinkClick xmlns:r="http://schemas.openxmlformats.org/officeDocument/2006/relationships" r:id="rId2" tooltip="MENÚ"/>
          <a:extLst>
            <a:ext uri="{FF2B5EF4-FFF2-40B4-BE49-F238E27FC236}">
              <a16:creationId xmlns:a16="http://schemas.microsoft.com/office/drawing/2014/main" id="{00000000-0008-0000-0800-000003000000}"/>
            </a:ext>
          </a:extLst>
        </xdr:cNvPr>
        <xdr:cNvSpPr/>
      </xdr:nvSpPr>
      <xdr:spPr>
        <a:xfrm>
          <a:off x="13312140" y="4792980"/>
          <a:ext cx="1188720" cy="350520"/>
        </a:xfrm>
        <a:prstGeom prst="roundRect">
          <a:avLst/>
        </a:prstGeom>
        <a:solidFill>
          <a:srgbClr val="7030A0"/>
        </a:solidFill>
        <a:ln w="381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MENÚ</a:t>
          </a:r>
        </a:p>
      </xdr:txBody>
    </xdr:sp>
    <xdr:clientData/>
  </xdr:twoCellAnchor>
  <xdr:twoCellAnchor editAs="oneCell">
    <xdr:from>
      <xdr:col>11</xdr:col>
      <xdr:colOff>22860</xdr:colOff>
      <xdr:row>4</xdr:row>
      <xdr:rowOff>175260</xdr:rowOff>
    </xdr:from>
    <xdr:to>
      <xdr:col>12</xdr:col>
      <xdr:colOff>281940</xdr:colOff>
      <xdr:row>10</xdr:row>
      <xdr:rowOff>83820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3418820" y="929640"/>
          <a:ext cx="1051560" cy="1051560"/>
        </a:xfrm>
        <a:prstGeom prst="rect">
          <a:avLst/>
        </a:prstGeom>
      </xdr:spPr>
    </xdr:pic>
    <xdr:clientData/>
  </xdr:twoCellAnchor>
  <xdr:twoCellAnchor editAs="oneCell">
    <xdr:from>
      <xdr:col>11</xdr:col>
      <xdr:colOff>60960</xdr:colOff>
      <xdr:row>9</xdr:row>
      <xdr:rowOff>144780</xdr:rowOff>
    </xdr:from>
    <xdr:to>
      <xdr:col>12</xdr:col>
      <xdr:colOff>319680</xdr:colOff>
      <xdr:row>15</xdr:row>
      <xdr:rowOff>68220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56920" y="1851660"/>
          <a:ext cx="1051200" cy="1051200"/>
        </a:xfrm>
        <a:prstGeom prst="rect">
          <a:avLst/>
        </a:prstGeom>
      </xdr:spPr>
    </xdr:pic>
    <xdr:clientData/>
  </xdr:twoCellAnchor>
  <xdr:twoCellAnchor editAs="oneCell">
    <xdr:from>
      <xdr:col>11</xdr:col>
      <xdr:colOff>76200</xdr:colOff>
      <xdr:row>14</xdr:row>
      <xdr:rowOff>152400</xdr:rowOff>
    </xdr:from>
    <xdr:to>
      <xdr:col>12</xdr:col>
      <xdr:colOff>334920</xdr:colOff>
      <xdr:row>20</xdr:row>
      <xdr:rowOff>106320</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72160" y="2804160"/>
          <a:ext cx="1051200" cy="1051200"/>
        </a:xfrm>
        <a:prstGeom prst="rect">
          <a:avLst/>
        </a:prstGeom>
      </xdr:spPr>
    </xdr:pic>
    <xdr:clientData/>
  </xdr:twoCellAnchor>
  <xdr:twoCellAnchor editAs="oneCell">
    <xdr:from>
      <xdr:col>11</xdr:col>
      <xdr:colOff>38100</xdr:colOff>
      <xdr:row>19</xdr:row>
      <xdr:rowOff>68580</xdr:rowOff>
    </xdr:from>
    <xdr:to>
      <xdr:col>12</xdr:col>
      <xdr:colOff>296820</xdr:colOff>
      <xdr:row>25</xdr:row>
      <xdr:rowOff>22500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13434060" y="3634740"/>
          <a:ext cx="1051200" cy="1051200"/>
        </a:xfrm>
        <a:prstGeom prst="rect">
          <a:avLst/>
        </a:prstGeom>
      </xdr:spPr>
    </xdr:pic>
    <xdr:clientData/>
  </xdr:twoCellAnchor>
  <xdr:twoCellAnchor editAs="oneCell">
    <xdr:from>
      <xdr:col>10</xdr:col>
      <xdr:colOff>914400</xdr:colOff>
      <xdr:row>0</xdr:row>
      <xdr:rowOff>0</xdr:rowOff>
    </xdr:from>
    <xdr:to>
      <xdr:col>12</xdr:col>
      <xdr:colOff>213000</xdr:colOff>
      <xdr:row>5</xdr:row>
      <xdr:rowOff>106320</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13350240" y="0"/>
          <a:ext cx="1051200" cy="1051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088D9B-3036-46C4-85F9-6914A916F943}" name="DEPARTAMENTO" displayName="DEPARTAMENTO" ref="A3:A36" totalsRowShown="0" headerRowDxfId="186">
  <autoFilter ref="A3:A36" xr:uid="{21088D9B-3036-46C4-85F9-6914A916F943}"/>
  <tableColumns count="1">
    <tableColumn id="1" xr3:uid="{2503C707-5A88-498B-8922-E96C3D3A59F1}" name="DEPARTAMENTO"/>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3C38DCA-8543-4F4D-B53F-ACF876AD679A}" name="CALDAS" displayName="CALDAS" ref="L3:L30" totalsRowShown="0" headerRowDxfId="153" dataDxfId="151" headerRowBorderDxfId="152">
  <autoFilter ref="L3:L30" xr:uid="{43C38DCA-8543-4F4D-B53F-ACF876AD679A}"/>
  <tableColumns count="1">
    <tableColumn id="1" xr3:uid="{D97E6982-4F89-4850-8A0F-002FDD534DEB}" name="CALDAS" dataDxfId="150"/>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24E7D85-B99B-4652-88B3-6DF4E0D02713}" name="CAQUETÁ" displayName="CAQUETÁ" ref="M3:M19" totalsRowShown="0" headerRowDxfId="149" dataDxfId="147" headerRowBorderDxfId="148">
  <autoFilter ref="M3:M19" xr:uid="{724E7D85-B99B-4652-88B3-6DF4E0D02713}"/>
  <tableColumns count="1">
    <tableColumn id="1" xr3:uid="{D2C356AC-1C57-48E1-967D-73387F819DC4}" name="CAQUETÁ" dataDxfId="14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7DD8F9D-A81A-45DD-B0B9-571B7D7DFC60}" name="CASANARE" displayName="CASANARE" ref="N3:N22" totalsRowShown="0" headerRowDxfId="145" dataDxfId="143" headerRowBorderDxfId="144">
  <autoFilter ref="N3:N22" xr:uid="{C7DD8F9D-A81A-45DD-B0B9-571B7D7DFC60}"/>
  <tableColumns count="1">
    <tableColumn id="1" xr3:uid="{83681018-5EB5-4018-9DD2-09FD40592EB4}" name="CASANARE" dataDxfId="142"/>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6A2EE40-9737-45CB-9910-D6177C57A583}" name="CAUCA" displayName="CAUCA" ref="O3:O45" totalsRowShown="0" headerRowDxfId="141" dataDxfId="139" headerRowBorderDxfId="140">
  <autoFilter ref="O3:O45" xr:uid="{86A2EE40-9737-45CB-9910-D6177C57A583}"/>
  <tableColumns count="1">
    <tableColumn id="1" xr3:uid="{F57A086B-4CB8-4278-B158-B68749F04807}" name="CAUCA" dataDxfId="138"/>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8F0B31E-760B-4CFE-B61A-444B381F9414}" name="CESAR" displayName="CESAR" ref="P3:P28" totalsRowShown="0" headerRowDxfId="137" dataDxfId="135" headerRowBorderDxfId="136">
  <autoFilter ref="P3:P28" xr:uid="{18F0B31E-760B-4CFE-B61A-444B381F9414}"/>
  <tableColumns count="1">
    <tableColumn id="1" xr3:uid="{2714906F-02BC-4FAB-8628-396A9E240290}" name="CESAR" dataDxfId="134"/>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F7DD99B-595C-407B-815E-2E30F96C50C6}" name="CHOCÓ" displayName="CHOCÓ" ref="Q3:Q33" totalsRowShown="0" headerRowDxfId="133" dataDxfId="131" headerRowBorderDxfId="132">
  <autoFilter ref="Q3:Q33" xr:uid="{4F7DD99B-595C-407B-815E-2E30F96C50C6}"/>
  <tableColumns count="1">
    <tableColumn id="1" xr3:uid="{E66E5F5F-0C46-4608-89B8-59B1B3C41E4B}" name="CHOCÓ" dataDxfId="130"/>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EE1D6C0-D325-45B4-A819-21218DA51A5B}" name="CÓRDOBA" displayName="CÓRDOBA" ref="R3:R33" totalsRowShown="0" headerRowDxfId="129" dataDxfId="127" headerRowBorderDxfId="128">
  <autoFilter ref="R3:R33" xr:uid="{EEE1D6C0-D325-45B4-A819-21218DA51A5B}"/>
  <tableColumns count="1">
    <tableColumn id="1" xr3:uid="{384FE495-253F-4F5C-A818-A0B824F96985}" name="CÓRDOBA" dataDxfId="126"/>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1CBE8D0-8A14-4AE1-A8A5-99F659B7A0F2}" name="CUNDINAMARCA" displayName="CUNDINAMARCA" ref="S3:S119" totalsRowShown="0" headerRowDxfId="125" dataDxfId="123" headerRowBorderDxfId="124">
  <autoFilter ref="S3:S119" xr:uid="{01CBE8D0-8A14-4AE1-A8A5-99F659B7A0F2}"/>
  <tableColumns count="1">
    <tableColumn id="1" xr3:uid="{1BAAACA9-CE70-4B02-958A-39383D5158A4}" name="CUNDINAMARCA" dataDxfId="122"/>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A4AB37D-AEFE-46FB-A6CA-566DCA7616EF}" name="GUAINÍA" displayName="GUAINÍA" ref="T3:T11" totalsRowShown="0" headerRowDxfId="121" dataDxfId="119" headerRowBorderDxfId="120">
  <autoFilter ref="T3:T11" xr:uid="{CA4AB37D-AEFE-46FB-A6CA-566DCA7616EF}"/>
  <tableColumns count="1">
    <tableColumn id="1" xr3:uid="{4939B87D-2E84-4AC2-9D79-1E104FF7A5E6}" name="GUAINÍA" dataDxfId="11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5D60E1F-D9C8-4554-994C-BBA998E71429}" name="GUAVIARE" displayName="GUAVIARE" ref="U3:U7" totalsRowShown="0" headerRowDxfId="117" dataDxfId="115" headerRowBorderDxfId="116">
  <autoFilter ref="U3:U7" xr:uid="{E5D60E1F-D9C8-4554-994C-BBA998E71429}"/>
  <tableColumns count="1">
    <tableColumn id="1" xr3:uid="{23665C48-5682-4AD2-8D6E-92A79D988876}" name="GUAVIARE" dataDxfId="114"/>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0CBD94-B3DD-4FF8-B312-164E6F0BBE3A}" name="AMAZONAS" displayName="AMAZONAS" ref="D3:D14" totalsRowShown="0" headerRowDxfId="185" dataDxfId="183" headerRowBorderDxfId="184">
  <autoFilter ref="D3:D14" xr:uid="{2B0CBD94-B3DD-4FF8-B312-164E6F0BBE3A}"/>
  <tableColumns count="1">
    <tableColumn id="1" xr3:uid="{7E9B910B-B29F-4333-8BDA-8AACBDF8B267}" name="AMAZONAS" dataDxfId="182"/>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BCFA025-7268-4EAE-8F43-0C91EF449C96}" name="HUILA" displayName="HUILA" ref="V3:V40" totalsRowShown="0" headerRowDxfId="113" dataDxfId="111" headerRowBorderDxfId="112">
  <autoFilter ref="V3:V40" xr:uid="{FBCFA025-7268-4EAE-8F43-0C91EF449C96}"/>
  <tableColumns count="1">
    <tableColumn id="1" xr3:uid="{A16361B5-FC14-40AD-9BED-9ED3EF563A42}" name="HUILA" dataDxfId="110"/>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8306CB7-9E52-4A41-B16D-5CA7EA371595}" name="GUAJIRA" displayName="GUAJIRA" ref="W3:W18" totalsRowShown="0" headerRowDxfId="109" dataDxfId="107" headerRowBorderDxfId="108">
  <autoFilter ref="W3:W18" xr:uid="{48306CB7-9E52-4A41-B16D-5CA7EA371595}"/>
  <tableColumns count="1">
    <tableColumn id="1" xr3:uid="{48293FAF-E096-4E5F-833B-9C556873C780}" name="GUAJIRA" dataDxfId="10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39BB4E7-DB03-47A5-8F9F-C26C04BF9781}" name="MAGDALENA" displayName="MAGDALENA" ref="X3:X33" totalsRowShown="0" headerRowDxfId="105" dataDxfId="103" headerRowBorderDxfId="104">
  <autoFilter ref="X3:X33" xr:uid="{139BB4E7-DB03-47A5-8F9F-C26C04BF9781}"/>
  <tableColumns count="1">
    <tableColumn id="1" xr3:uid="{D8F49309-AF94-4E93-98DC-236B4A524C48}" name="MAGDALENA" dataDxfId="102"/>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63E4A72-0376-467E-82C0-95B1E04521DD}" name="META" displayName="META" ref="Y3:Y32" totalsRowShown="0" headerRowDxfId="101" dataDxfId="99" headerRowBorderDxfId="100">
  <autoFilter ref="Y3:Y32" xr:uid="{D63E4A72-0376-467E-82C0-95B1E04521DD}"/>
  <tableColumns count="1">
    <tableColumn id="1" xr3:uid="{C002D896-27CA-4663-9A2D-998BA1777150}" name="META" dataDxfId="98"/>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50D08B3-37A0-4B8E-ACFE-48EF52630B78}" name="NARIÑO" displayName="NARIÑO" ref="Z3:Z67" totalsRowShown="0" headerRowDxfId="97" dataDxfId="95" headerRowBorderDxfId="96">
  <autoFilter ref="Z3:Z67" xr:uid="{D50D08B3-37A0-4B8E-ACFE-48EF52630B78}"/>
  <tableColumns count="1">
    <tableColumn id="1" xr3:uid="{8137B5D9-DEC0-4E2F-BE1A-3FAC0DAFA337}" name="NARIÑO" dataDxfId="94"/>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61DAFB1-EBAD-457D-B94C-7CDCE535E22C}" name="N.SANTANDER" displayName="N.SANTANDER" ref="AA3:AA43" totalsRowShown="0" headerRowDxfId="93" dataDxfId="91" headerRowBorderDxfId="92">
  <autoFilter ref="AA3:AA43" xr:uid="{061DAFB1-EBAD-457D-B94C-7CDCE535E22C}"/>
  <tableColumns count="1">
    <tableColumn id="1" xr3:uid="{8E9EF2C5-389D-42EC-AC13-E3EC5BF9EF40}" name="N.SANTANDER" dataDxfId="90"/>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441B95D-D86F-40E5-B590-94F20AAC16A0}" name="PUTUMAYO" displayName="PUTUMAYO" ref="AB3:AB16" totalsRowShown="0" headerRowDxfId="89" dataDxfId="87" headerRowBorderDxfId="88">
  <autoFilter ref="AB3:AB16" xr:uid="{9441B95D-D86F-40E5-B590-94F20AAC16A0}"/>
  <tableColumns count="1">
    <tableColumn id="1" xr3:uid="{7567035C-EC5F-4BC1-BBC2-1D815AB00E81}" name="PUTUMAYO" dataDxfId="86"/>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A9BA23A-C682-49A6-9E0C-D46914349943}" name="QUINDÍO" displayName="QUINDÍO" ref="AC3:AC15" totalsRowShown="0" headerRowDxfId="85" dataDxfId="83" headerRowBorderDxfId="84">
  <autoFilter ref="AC3:AC15" xr:uid="{BA9BA23A-C682-49A6-9E0C-D46914349943}"/>
  <tableColumns count="1">
    <tableColumn id="1" xr3:uid="{DD36FCC2-3137-45E3-A649-13322C1C24DB}" name="QUINDÍO" dataDxfId="82"/>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6CDFBB1-1B7A-4096-B97F-589FF43A67D2}" name="RISARALDA" displayName="RISARALDA" ref="AD3:AD17" totalsRowShown="0" headerRowDxfId="81" dataDxfId="79" headerRowBorderDxfId="80">
  <autoFilter ref="AD3:AD17" xr:uid="{56CDFBB1-1B7A-4096-B97F-589FF43A67D2}"/>
  <tableColumns count="1">
    <tableColumn id="1" xr3:uid="{1CC435FC-DA1B-46D9-91EA-7A7EEECA70DF}" name="RISARALDA" dataDxfId="78"/>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DCF01F1-A2AF-439A-B4AC-97B8C4642871}" name="SANTANDER" displayName="SANTANDER" ref="AE3:AE90" totalsRowShown="0" headerRowDxfId="77" dataDxfId="75" headerRowBorderDxfId="76">
  <autoFilter ref="AE3:AE90" xr:uid="{BDCF01F1-A2AF-439A-B4AC-97B8C4642871}"/>
  <tableColumns count="1">
    <tableColumn id="1" xr3:uid="{52873878-DF84-4B35-922D-3ABC0A0BD566}" name="SANTANDER" dataDxfId="7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CAB3C3D-214A-46BF-9B2E-445CBF7A6E1E}" name="ANTIOQUIA" displayName="ANTIOQUIA" ref="E3:E128" totalsRowShown="0" headerRowDxfId="181" dataDxfId="179" headerRowBorderDxfId="180">
  <autoFilter ref="E3:E128" xr:uid="{CCAB3C3D-214A-46BF-9B2E-445CBF7A6E1E}"/>
  <tableColumns count="1">
    <tableColumn id="1" xr3:uid="{19815FFF-F343-41D4-9808-5DA65E451BFA}" name="ANTIOQUIA" dataDxfId="178"/>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C30EC13-DD7F-400C-B8CD-6A140BADA317}" name="SUCRE" displayName="SUCRE" ref="AF3:AF29" totalsRowShown="0" headerRowDxfId="73" dataDxfId="71" headerRowBorderDxfId="72">
  <autoFilter ref="AF3:AF29" xr:uid="{6C30EC13-DD7F-400C-B8CD-6A140BADA317}"/>
  <tableColumns count="1">
    <tableColumn id="1" xr3:uid="{25059807-4704-421C-A6CC-BB766DF23FB9}" name="SUCRE" dataDxfId="70"/>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4819628-9A85-48A5-ABFF-F402617DBDCD}" name="TOLIMA" displayName="TOLIMA" ref="AG3:AG50" totalsRowShown="0" headerRowDxfId="69" dataDxfId="67" headerRowBorderDxfId="68">
  <autoFilter ref="AG3:AG50" xr:uid="{04819628-9A85-48A5-ABFF-F402617DBDCD}"/>
  <tableColumns count="1">
    <tableColumn id="1" xr3:uid="{367265E4-6B1A-49AB-B87E-2F99A684D439}" name="TOLIMA" dataDxfId="66"/>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4E27586-67FE-4A37-9C32-8258EB68BA3E}" name="VALLE" displayName="VALLE" ref="AH3:AH45" totalsRowShown="0" headerRowDxfId="65" dataDxfId="63" headerRowBorderDxfId="64">
  <autoFilter ref="AH3:AH45" xr:uid="{44E27586-67FE-4A37-9C32-8258EB68BA3E}"/>
  <tableColumns count="1">
    <tableColumn id="1" xr3:uid="{1C33182F-3D7D-4BBF-894B-6BEE782A4D42}" name="VALLE" dataDxfId="62"/>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84E722D-4431-4538-956E-356DB64A5506}" name="VAUPÉS" displayName="VAUPÉS" ref="AI3:AI9" totalsRowShown="0" headerRowDxfId="61" dataDxfId="59" headerRowBorderDxfId="60">
  <autoFilter ref="AI3:AI9" xr:uid="{284E722D-4431-4538-956E-356DB64A5506}"/>
  <tableColumns count="1">
    <tableColumn id="1" xr3:uid="{10EE9346-981B-4CE6-BC45-0BC6AB34068A}" name="VAUPÉS" dataDxfId="58"/>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AF98445-E5FD-4E1C-B499-A75B60253D27}" name="VICHADA" displayName="VICHADA" ref="AJ3:AJ7" totalsRowShown="0" headerRowDxfId="57" dataDxfId="55" headerRowBorderDxfId="56">
  <autoFilter ref="AJ3:AJ7" xr:uid="{6AF98445-E5FD-4E1C-B499-A75B60253D27}"/>
  <tableColumns count="1">
    <tableColumn id="1" xr3:uid="{3DAD60D7-9A67-486B-B295-12360FD96F74}" name="VICHADA" dataDxfId="54"/>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BDF089A-50BA-4411-B0A5-4021F0AB522A}" name="Table1" displayName="Table1" ref="A18:X113" totalsRowShown="0" headerRowDxfId="53" headerRowBorderDxfId="52" tableBorderDxfId="51">
  <autoFilter ref="A18:X113" xr:uid="{04A0908A-4E9B-458E-8F98-AE4BCC83DA60}"/>
  <tableColumns count="24">
    <tableColumn id="1" xr3:uid="{7397133E-4DD6-4AB1-860D-941643593AE5}" name="Year" dataDxfId="50"/>
    <tableColumn id="2" xr3:uid="{557D5894-78DE-48DC-9E1E-5B084E360219}" name="S&amp;P 500 (includes dividends)" dataDxfId="49"/>
    <tableColumn id="3" xr3:uid="{142CC7D9-3021-4CF3-A2C0-AE2928D2ED35}" name="3-month T.Bill" dataDxfId="48"/>
    <tableColumn id="4" xr3:uid="{25CCA54E-ADF5-4D19-A4D1-3651CED58416}" name="US T. Bond" dataDxfId="47"/>
    <tableColumn id="16" xr3:uid="{94DD7F4B-671B-49DD-A27F-76253ED6E389}" name=" Baa Corporate Bond" dataDxfId="46"/>
    <tableColumn id="15" xr3:uid="{A1889EC9-24B4-4843-B80F-63D4102BCE5D}" name="Real Estate" dataDxfId="45"/>
    <tableColumn id="24" xr3:uid="{8FAFDEF9-5F47-4E24-B9BA-D3234F2C4DE9}" name="Gold*" dataDxfId="44"/>
    <tableColumn id="5" xr3:uid="{B576C3E2-402D-4CEC-8890-9AFE1E4805F3}" name="S&amp;P 500 (includes dividends)3" dataDxfId="43"/>
    <tableColumn id="6" xr3:uid="{A7AE818B-7727-4ABC-985C-9E7574716D03}" name="3-month T.Bill4" dataDxfId="42"/>
    <tableColumn id="7" xr3:uid="{F4B93D58-E57B-4559-85A7-17140BD7C2F5}" name="US T. Bond5" dataDxfId="41"/>
    <tableColumn id="17" xr3:uid="{327E0A51-575B-4C45-A9CF-BB570AF8A7F1}" name=" Baa Corporate Bond2" dataDxfId="40"/>
    <tableColumn id="20" xr3:uid="{E9C98085-B88A-4607-ACFB-D877F818F946}" name="Real Estate2" dataDxfId="39">
      <calculatedColumnFormula>L18*(1+F19)</calculatedColumnFormula>
    </tableColumn>
    <tableColumn id="25" xr3:uid="{01F58E01-5411-4F27-829A-B223507FC424}" name="Gold2" dataDxfId="38">
      <calculatedColumnFormula>M18*(1+G19)</calculatedColumnFormula>
    </tableColumn>
    <tableColumn id="8" xr3:uid="{4A4AD88B-7C74-4D94-A924-983BBDDF74E8}" name="Stocks - Bills" dataDxfId="37">
      <calculatedColumnFormula>B19-C19</calculatedColumnFormula>
    </tableColumn>
    <tableColumn id="9" xr3:uid="{F4B242C9-8AFA-4D5A-AB96-B02284CB71D2}" name="Stocks - Bonds" dataDxfId="36">
      <calculatedColumnFormula>B19-D19</calculatedColumnFormula>
    </tableColumn>
    <tableColumn id="18" xr3:uid="{2B0B2D42-1C8F-4A15-AD66-A23C6B3EAA66}" name="Stocks - Baa Corp Bond" dataDxfId="35">
      <calculatedColumnFormula>B19-E19</calculatedColumnFormula>
    </tableColumn>
    <tableColumn id="10" xr3:uid="{0A598121-ACED-47AB-A865-739B6C3507F7}" name="Historical risk premium" dataDxfId="34"/>
    <tableColumn id="11" xr3:uid="{FB52864D-50B3-43C1-9FC4-5E5A053FE726}" name="Inflation Rate" dataDxfId="33"/>
    <tableColumn id="12" xr3:uid="{42AC390F-EC89-4715-AF70-4BAEB9C3F39A}" name="S&amp;P 500 (includes dividends)2" dataDxfId="32">
      <calculatedColumnFormula>(1+B19)/(1+$R19)-1</calculatedColumnFormula>
    </tableColumn>
    <tableColumn id="13" xr3:uid="{A8517690-8522-4F11-9488-9BED7309BA5E}" name="3-month T. Bill (Real)" dataDxfId="31">
      <calculatedColumnFormula>(1+C19)/(1+$R19)-1</calculatedColumnFormula>
    </tableColumn>
    <tableColumn id="14" xr3:uid="{20539108-FD2D-461D-9EBA-F7404946BF92}" name="!0-year T.Bonds" dataDxfId="30">
      <calculatedColumnFormula>(1+D19)/(1+$R19)-1</calculatedColumnFormula>
    </tableColumn>
    <tableColumn id="19" xr3:uid="{C6E2B87E-0A3B-4DD8-B058-C21F50398AAB}" name="Baa Corp Bonds" dataDxfId="29">
      <calculatedColumnFormula>(1+E19)/(1+$R19)-1</calculatedColumnFormula>
    </tableColumn>
    <tableColumn id="21" xr3:uid="{598DC6F8-89E4-495D-B646-484FCF731790}" name="Real Estate3" dataDxfId="28">
      <calculatedColumnFormula>(1+F19)/(1+$R19)-1</calculatedColumnFormula>
    </tableColumn>
    <tableColumn id="26" xr3:uid="{37027647-B313-4894-907D-B79645BCA586}" name="Gold" dataDxfId="27">
      <calculatedColumnFormula>(1+G19)/(1+$R19)-1</calculatedColumnFormula>
    </tableColumn>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160F75-62B9-4A95-9D92-14FC9042AB15}" name="Table12" displayName="Table12" ref="A20:X116" totalsRowShown="0" headerRowDxfId="26" headerRowBorderDxfId="25" tableBorderDxfId="24">
  <autoFilter ref="A20:X116" xr:uid="{C6485A68-7A00-4F0D-953E-08E1CC1A375A}"/>
  <tableColumns count="24">
    <tableColumn id="1" xr3:uid="{FEA4B7E7-9417-475D-881B-E18F40B44AD7}" name="Year" dataDxfId="23"/>
    <tableColumn id="2" xr3:uid="{2860D979-FBA5-44E0-A68D-B0041DE54F98}" name="S&amp;P 500 (includes dividends)" dataDxfId="22"/>
    <tableColumn id="3" xr3:uid="{DE17B19B-0D25-470C-9F6D-A3862FF7E48B}" name="3-month T.Bill" dataDxfId="21"/>
    <tableColumn id="4" xr3:uid="{C59B87DB-A764-4C53-818B-4967F029411B}" name="US T. Bond (10-year)" dataDxfId="20"/>
    <tableColumn id="16" xr3:uid="{F4316FA4-1DBB-4445-9BCA-A558936C74C0}" name=" Baa Corporate Bond" dataDxfId="19"/>
    <tableColumn id="15" xr3:uid="{EB4EFBCC-B24B-4FE3-A5CE-D61DFB31B2C2}" name="Real Estate" dataDxfId="18"/>
    <tableColumn id="24" xr3:uid="{1E70052F-4DE9-4820-B67B-BFB0294F384A}" name="Gold*" dataDxfId="17"/>
    <tableColumn id="5" xr3:uid="{966F3B56-97B8-40E3-A627-562719317BFD}" name="S&amp;P 500 (includes dividends)3" dataDxfId="16"/>
    <tableColumn id="6" xr3:uid="{680A2D21-8674-48CA-B0EA-BEF4A889FE46}" name="3-month T.Bill4" dataDxfId="15"/>
    <tableColumn id="7" xr3:uid="{C8DB39D6-7E3A-4A64-91D4-6BD9FF6C7A6A}" name="US T. Bond5" dataDxfId="14"/>
    <tableColumn id="17" xr3:uid="{AC7A4D77-6553-476D-B47F-6CC0BD4AF244}" name=" Baa Corporate Bond2" dataDxfId="13"/>
    <tableColumn id="20" xr3:uid="{24FFBB7A-F74C-4764-A330-64BEE132C1D3}" name="Real Estate2" dataDxfId="12">
      <calculatedColumnFormula>L20*(1+F21)</calculatedColumnFormula>
    </tableColumn>
    <tableColumn id="25" xr3:uid="{D617DE57-A285-44F6-90BA-126679D82DB2}" name="Gold2" dataDxfId="11">
      <calculatedColumnFormula>M20*(1+G21)</calculatedColumnFormula>
    </tableColumn>
    <tableColumn id="8" xr3:uid="{8DC62AC5-B94C-4013-B399-FEB33EF48DF3}" name="Stocks - Bills" dataDxfId="10">
      <calculatedColumnFormula>B21-C21</calculatedColumnFormula>
    </tableColumn>
    <tableColumn id="9" xr3:uid="{60135AD1-9BAB-4F52-A9A2-F6E6C1EFFD28}" name="Stocks - Bonds" dataDxfId="9">
      <calculatedColumnFormula>B21-D21</calculatedColumnFormula>
    </tableColumn>
    <tableColumn id="18" xr3:uid="{D24F269E-B71A-45DE-840E-FF811E68898B}" name="Stocks - Baa Corp Bond" dataDxfId="8">
      <calculatedColumnFormula>B21-E21</calculatedColumnFormula>
    </tableColumn>
    <tableColumn id="10" xr3:uid="{542917F6-DCB6-4381-BD36-1DE1DA084DE4}" name="Historical risk premium" dataDxfId="7"/>
    <tableColumn id="11" xr3:uid="{F2CF2A41-B186-42DE-9558-2D517F9C386A}" name="Inflation Rate" dataDxfId="6"/>
    <tableColumn id="12" xr3:uid="{452676C2-3150-4723-98D4-1574CF896F34}" name="S&amp;P 500 (includes dividends)2" dataDxfId="5">
      <calculatedColumnFormula>(1+B21)/(1+$R21)-1</calculatedColumnFormula>
    </tableColumn>
    <tableColumn id="13" xr3:uid="{059ACF79-FA96-4E78-848A-7FFDCF68AD10}" name="3-month T. Bill (Real)" dataDxfId="4">
      <calculatedColumnFormula>(1+C21)/(1+$R21)-1</calculatedColumnFormula>
    </tableColumn>
    <tableColumn id="14" xr3:uid="{3F8E1743-8FF3-4994-BFE7-FA8090B3BB6C}" name="!0-year T.Bonds" dataDxfId="3">
      <calculatedColumnFormula>(1+D21)/(1+$R21)-1</calculatedColumnFormula>
    </tableColumn>
    <tableColumn id="19" xr3:uid="{6E146EA3-6B3F-4CD6-90D9-9DB8A07339C2}" name="Baa Corp Bonds" dataDxfId="2">
      <calculatedColumnFormula>(1+E21)/(1+$R21)-1</calculatedColumnFormula>
    </tableColumn>
    <tableColumn id="21" xr3:uid="{B6693DF8-BAFF-44D3-867F-1F2A119CDD40}" name="Real Estate3" dataDxfId="1">
      <calculatedColumnFormula>(1+F21)/(1+$R21)-1</calculatedColumnFormula>
    </tableColumn>
    <tableColumn id="26" xr3:uid="{71B3241F-4437-4259-9671-453B16C7CEDA}" name="Gold" dataDxfId="0">
      <calculatedColumnFormula>(1+G21)/(1+$R21)-1</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08CD73-A794-4547-8349-835B540C379F}" name="ARAUCA" displayName="ARAUCA" ref="F3:F10" totalsRowShown="0" headerRowDxfId="177" dataDxfId="175" headerRowBorderDxfId="176">
  <autoFilter ref="F3:F10" xr:uid="{2E08CD73-A794-4547-8349-835B540C379F}"/>
  <tableColumns count="1">
    <tableColumn id="1" xr3:uid="{DDE10E7A-81CE-448F-BA6B-9242EA0EABFB}" name="ARAUCA" dataDxfId="17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47F6FA-B7C8-4E0F-BFAC-A552FC0D7AE7}" name="SANANDRÉS" displayName="SANANDRÉS" ref="G3:G5" totalsRowShown="0" headerRowDxfId="173" dataDxfId="171" headerRowBorderDxfId="172">
  <autoFilter ref="G3:G5" xr:uid="{4B47F6FA-B7C8-4E0F-BFAC-A552FC0D7AE7}"/>
  <tableColumns count="1">
    <tableColumn id="1" xr3:uid="{0892BBA7-812C-453A-AF5F-85F7ABD91ACE}" name="SANANDRÉS" dataDxfId="17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250B199-A94A-488D-8EC4-01662917B35E}" name="ATLÁNTICO" displayName="ATLÁNTICO" ref="H3:H26" totalsRowShown="0" headerRowDxfId="169" dataDxfId="167" headerRowBorderDxfId="168">
  <autoFilter ref="H3:H26" xr:uid="{0250B199-A94A-488D-8EC4-01662917B35E}"/>
  <tableColumns count="1">
    <tableColumn id="1" xr3:uid="{EBA5B511-EE2D-492B-ADD8-AAF345C2A057}" name="ATLÁNTICO" dataDxfId="166"/>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9587135-5106-410E-ADC8-1E05D7C56CC2}" name="BOGOTÁ" displayName="BOGOTÁ" ref="I3:I4" totalsRowShown="0" headerRowDxfId="165" dataDxfId="163" headerRowBorderDxfId="164">
  <autoFilter ref="I3:I4" xr:uid="{89587135-5106-410E-ADC8-1E05D7C56CC2}"/>
  <tableColumns count="1">
    <tableColumn id="1" xr3:uid="{2107DEF0-A23C-4E47-AE48-AF129F76E6A9}" name="BOGOTÁ" dataDxfId="16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01DD610-CB4B-4D00-BF01-B5B54626C353}" name="BOLÍVAR" displayName="BOLÍVAR" ref="J3:J49" totalsRowShown="0" headerRowDxfId="161" dataDxfId="159" headerRowBorderDxfId="160">
  <autoFilter ref="J3:J49" xr:uid="{201DD610-CB4B-4D00-BF01-B5B54626C353}"/>
  <tableColumns count="1">
    <tableColumn id="1" xr3:uid="{0EACD674-6F06-46DD-A1C7-4E0AE2528B39}" name="BOLÍVAR" dataDxfId="158"/>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D0C9BC6-D8A1-4FDA-96AE-9AF768E0146C}" name="BOYACÁ" displayName="BOYACÁ" ref="K3:K126" totalsRowShown="0" headerRowDxfId="157" dataDxfId="155" headerRowBorderDxfId="156">
  <autoFilter ref="K3:K126" xr:uid="{9D0C9BC6-D8A1-4FDA-96AE-9AF768E0146C}"/>
  <tableColumns count="1">
    <tableColumn id="1" xr3:uid="{3C745B40-04D4-416C-8624-452416C9204D}" name="BOYACÁ" dataDxfId="154"/>
  </tableColumns>
  <tableStyleInfo name="TableStyleLight9"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8"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hyperlink" Target="https://autosolar.co/" TargetMode="External"/><Relationship Id="rId7" Type="http://schemas.openxmlformats.org/officeDocument/2006/relationships/comments" Target="../comments1.xml"/><Relationship Id="rId2" Type="http://schemas.openxmlformats.org/officeDocument/2006/relationships/hyperlink" Target="https://ser-colombia.org/mercados-colombia/" TargetMode="External"/><Relationship Id="rId1" Type="http://schemas.openxmlformats.org/officeDocument/2006/relationships/hyperlink" Target="https://ipse.gov.co/guia-practica-de-estructuracion-de-proyecto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hyperlink" Target="https://lcoev2.upme.gov.co/"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5" Type="http://schemas.openxmlformats.org/officeDocument/2006/relationships/comments" Target="../comments4.xml"/><Relationship Id="rId4" Type="http://schemas.openxmlformats.org/officeDocument/2006/relationships/table" Target="../tables/table3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invenomica.com.ar/riesgo-pais-embi-america-latina-serie-historica/"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banrep.gov.co/sites/default/files/paginas/bie.xls" TargetMode="External"/><Relationship Id="rId2" Type="http://schemas.openxmlformats.org/officeDocument/2006/relationships/hyperlink" Target="https://www.banrep.gov.co/es/estadisticas/tasas-de-cambio-y-sector-externo" TargetMode="External"/><Relationship Id="rId1" Type="http://schemas.openxmlformats.org/officeDocument/2006/relationships/hyperlink" Target="https://www.banrep.gov.co/es/estadisticas/precios-e-inflacion" TargetMode="External"/><Relationship Id="rId5" Type="http://schemas.openxmlformats.org/officeDocument/2006/relationships/vmlDrawing" Target="../drawings/vmlDrawing5.vm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2.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www.stern.nyu.edu/~adamodar/New_Home_Page/data.html" TargetMode="External"/><Relationship Id="rId7" Type="http://schemas.openxmlformats.org/officeDocument/2006/relationships/table" Target="../tables/table36.xml"/><Relationship Id="rId2" Type="http://schemas.openxmlformats.org/officeDocument/2006/relationships/hyperlink" Target="http://www.damodaran.com/" TargetMode="External"/><Relationship Id="rId1" Type="http://schemas.openxmlformats.org/officeDocument/2006/relationships/hyperlink" Target="mailto:adamodar@stern.nyu.edu?subject=Data%20on%20website" TargetMode="External"/><Relationship Id="rId6" Type="http://schemas.openxmlformats.org/officeDocument/2006/relationships/vmlDrawing" Target="../drawings/vmlDrawing6.vml"/><Relationship Id="rId5" Type="http://schemas.openxmlformats.org/officeDocument/2006/relationships/hyperlink" Target="http://www.stern.nyu.edu/~adamodar/New_Home_Page/datafile/variable.htm" TargetMode="External"/><Relationship Id="rId4" Type="http://schemas.openxmlformats.org/officeDocument/2006/relationships/hyperlink" Target="http://www.stern.nyu.edu/~adamodar/pc/datasets/indname.xl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banrep.gov.co/sites/default/files/paginas/bie.xls" TargetMode="External"/><Relationship Id="rId2" Type="http://schemas.openxmlformats.org/officeDocument/2006/relationships/hyperlink" Target="https://www.banrep.gov.co/es/estadisticas/tasas-de-cambio-y-sector-externo" TargetMode="External"/><Relationship Id="rId1" Type="http://schemas.openxmlformats.org/officeDocument/2006/relationships/hyperlink" Target="https://www.banrep.gov.co/es/estadisticas/precios-e-inflacion" TargetMode="External"/><Relationship Id="rId5" Type="http://schemas.openxmlformats.org/officeDocument/2006/relationships/vmlDrawing" Target="../drawings/vmlDrawing7.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94F4-140B-4A34-93A5-30DB63AABC8E}">
  <dimension ref="A2:AT1124"/>
  <sheetViews>
    <sheetView topLeftCell="AE487" workbookViewId="0">
      <selection activeCell="AT514" sqref="AT514"/>
    </sheetView>
  </sheetViews>
  <sheetFormatPr baseColWidth="10" defaultColWidth="11.453125" defaultRowHeight="14.5"/>
  <cols>
    <col min="1" max="1" width="56" bestFit="1" customWidth="1"/>
    <col min="4" max="4" width="13" customWidth="1"/>
    <col min="5" max="5" width="12.7265625" customWidth="1"/>
    <col min="7" max="7" width="57.1796875" customWidth="1"/>
    <col min="8" max="8" width="12.54296875" customWidth="1"/>
    <col min="9" max="9" width="14.54296875" customWidth="1"/>
    <col min="14" max="14" width="12.1796875" customWidth="1"/>
    <col min="19" max="19" width="17.453125" customWidth="1"/>
    <col min="21" max="21" width="11.7265625" customWidth="1"/>
    <col min="23" max="23" width="12.7265625" customWidth="1"/>
    <col min="24" max="24" width="14" customWidth="1"/>
    <col min="27" max="27" width="22.26953125" customWidth="1"/>
    <col min="28" max="28" width="13" customWidth="1"/>
    <col min="30" max="30" width="12.453125" customWidth="1"/>
    <col min="31" max="31" width="13.26953125" customWidth="1"/>
    <col min="34" max="34" width="18.1796875" customWidth="1"/>
  </cols>
  <sheetData>
    <row r="2" spans="1:46">
      <c r="AR2" t="s">
        <v>0</v>
      </c>
      <c r="AS2" t="s">
        <v>1</v>
      </c>
      <c r="AT2" t="s">
        <v>2</v>
      </c>
    </row>
    <row r="3" spans="1:46">
      <c r="A3" s="6" t="s">
        <v>3</v>
      </c>
      <c r="D3" s="5" t="s">
        <v>4</v>
      </c>
      <c r="E3" s="5" t="s">
        <v>5</v>
      </c>
      <c r="F3" s="5" t="s">
        <v>6</v>
      </c>
      <c r="G3" s="5" t="s">
        <v>7</v>
      </c>
      <c r="H3" s="5" t="s">
        <v>8</v>
      </c>
      <c r="I3" s="5" t="s">
        <v>9</v>
      </c>
      <c r="J3" s="5" t="s">
        <v>10</v>
      </c>
      <c r="K3" s="5" t="s">
        <v>11</v>
      </c>
      <c r="L3" s="5" t="s">
        <v>12</v>
      </c>
      <c r="M3" s="5" t="s">
        <v>13</v>
      </c>
      <c r="N3" s="5" t="s">
        <v>14</v>
      </c>
      <c r="O3" s="5" t="s">
        <v>15</v>
      </c>
      <c r="P3" s="5" t="s">
        <v>16</v>
      </c>
      <c r="Q3" s="5" t="s">
        <v>17</v>
      </c>
      <c r="R3" s="5" t="s">
        <v>18</v>
      </c>
      <c r="S3" s="5" t="s">
        <v>19</v>
      </c>
      <c r="T3" s="5" t="s">
        <v>20</v>
      </c>
      <c r="U3" s="5" t="s">
        <v>21</v>
      </c>
      <c r="V3" s="5" t="s">
        <v>22</v>
      </c>
      <c r="W3" s="5" t="s">
        <v>23</v>
      </c>
      <c r="X3" s="5" t="s">
        <v>24</v>
      </c>
      <c r="Y3" s="5" t="s">
        <v>25</v>
      </c>
      <c r="Z3" s="5" t="s">
        <v>26</v>
      </c>
      <c r="AA3" s="5" t="s">
        <v>27</v>
      </c>
      <c r="AB3" s="5" t="s">
        <v>28</v>
      </c>
      <c r="AC3" s="5" t="s">
        <v>29</v>
      </c>
      <c r="AD3" s="5" t="s">
        <v>30</v>
      </c>
      <c r="AE3" s="5" t="s">
        <v>31</v>
      </c>
      <c r="AF3" s="5" t="s">
        <v>32</v>
      </c>
      <c r="AG3" s="5" t="s">
        <v>33</v>
      </c>
      <c r="AH3" s="5" t="s">
        <v>34</v>
      </c>
      <c r="AI3" s="5" t="s">
        <v>35</v>
      </c>
      <c r="AJ3" s="5" t="s">
        <v>36</v>
      </c>
      <c r="AL3" s="338" t="s">
        <v>37</v>
      </c>
      <c r="AM3" s="339" t="s">
        <v>38</v>
      </c>
      <c r="AN3" s="338" t="s">
        <v>37</v>
      </c>
      <c r="AO3" s="339" t="s">
        <v>38</v>
      </c>
      <c r="AP3" s="348" t="s">
        <v>39</v>
      </c>
      <c r="AQ3" s="348" t="s">
        <v>40</v>
      </c>
      <c r="AR3" s="348" t="s">
        <v>41</v>
      </c>
      <c r="AS3" s="348" t="s">
        <v>42</v>
      </c>
      <c r="AT3" s="348" t="s">
        <v>43</v>
      </c>
    </row>
    <row r="4" spans="1:46">
      <c r="A4" t="s">
        <v>5</v>
      </c>
      <c r="D4" s="4" t="s">
        <v>44</v>
      </c>
      <c r="E4" s="4" t="s">
        <v>45</v>
      </c>
      <c r="F4" s="4" t="s">
        <v>6</v>
      </c>
      <c r="G4" s="4" t="s">
        <v>46</v>
      </c>
      <c r="H4" s="4" t="s">
        <v>47</v>
      </c>
      <c r="I4" s="4" t="s">
        <v>48</v>
      </c>
      <c r="J4" s="4" t="s">
        <v>49</v>
      </c>
      <c r="K4" s="4" t="s">
        <v>50</v>
      </c>
      <c r="L4" s="4" t="s">
        <v>51</v>
      </c>
      <c r="M4" s="4" t="s">
        <v>52</v>
      </c>
      <c r="N4" s="4" t="s">
        <v>53</v>
      </c>
      <c r="O4" s="4" t="s">
        <v>54</v>
      </c>
      <c r="P4" s="4" t="s">
        <v>55</v>
      </c>
      <c r="Q4" s="4" t="s">
        <v>56</v>
      </c>
      <c r="R4" s="4" t="s">
        <v>57</v>
      </c>
      <c r="S4" s="4" t="s">
        <v>58</v>
      </c>
      <c r="T4" s="4" t="s">
        <v>59</v>
      </c>
      <c r="U4" s="4" t="s">
        <v>60</v>
      </c>
      <c r="V4" s="4" t="s">
        <v>61</v>
      </c>
      <c r="W4" s="4" t="s">
        <v>52</v>
      </c>
      <c r="X4" s="4" t="s">
        <v>62</v>
      </c>
      <c r="Y4" s="4" t="s">
        <v>63</v>
      </c>
      <c r="Z4" s="4" t="s">
        <v>64</v>
      </c>
      <c r="AA4" s="4" t="s">
        <v>65</v>
      </c>
      <c r="AB4" s="4" t="s">
        <v>66</v>
      </c>
      <c r="AC4" s="4" t="s">
        <v>67</v>
      </c>
      <c r="AD4" s="4" t="s">
        <v>68</v>
      </c>
      <c r="AE4" s="4" t="s">
        <v>69</v>
      </c>
      <c r="AF4" s="4" t="s">
        <v>70</v>
      </c>
      <c r="AG4" s="4" t="s">
        <v>71</v>
      </c>
      <c r="AH4" s="4" t="s">
        <v>72</v>
      </c>
      <c r="AI4" s="4" t="s">
        <v>73</v>
      </c>
      <c r="AJ4" s="4" t="s">
        <v>74</v>
      </c>
      <c r="AL4" s="344">
        <v>5</v>
      </c>
      <c r="AM4" s="340" t="s">
        <v>5</v>
      </c>
      <c r="AN4" s="344">
        <v>5001</v>
      </c>
      <c r="AO4" s="340" t="s">
        <v>75</v>
      </c>
      <c r="AP4" t="s">
        <v>76</v>
      </c>
      <c r="AQ4">
        <v>5001</v>
      </c>
      <c r="AR4" s="350">
        <v>99.52</v>
      </c>
      <c r="AS4" s="350">
        <v>99.54</v>
      </c>
      <c r="AT4" s="350">
        <v>98.03</v>
      </c>
    </row>
    <row r="5" spans="1:46">
      <c r="A5" t="s">
        <v>8</v>
      </c>
      <c r="D5" s="4" t="s">
        <v>77</v>
      </c>
      <c r="E5" s="4" t="s">
        <v>78</v>
      </c>
      <c r="F5" s="4" t="s">
        <v>79</v>
      </c>
      <c r="G5" s="4" t="s">
        <v>80</v>
      </c>
      <c r="H5" s="4" t="s">
        <v>81</v>
      </c>
      <c r="J5" s="4" t="s">
        <v>82</v>
      </c>
      <c r="K5" s="4" t="s">
        <v>83</v>
      </c>
      <c r="L5" s="4" t="s">
        <v>84</v>
      </c>
      <c r="M5" s="4" t="s">
        <v>85</v>
      </c>
      <c r="N5" s="4" t="s">
        <v>86</v>
      </c>
      <c r="O5" s="4" t="s">
        <v>87</v>
      </c>
      <c r="P5" s="4" t="s">
        <v>88</v>
      </c>
      <c r="Q5" s="4" t="s">
        <v>89</v>
      </c>
      <c r="R5" s="4" t="s">
        <v>70</v>
      </c>
      <c r="S5" s="4" t="s">
        <v>64</v>
      </c>
      <c r="T5" s="4" t="s">
        <v>90</v>
      </c>
      <c r="U5" s="4" t="s">
        <v>91</v>
      </c>
      <c r="V5" s="4" t="s">
        <v>92</v>
      </c>
      <c r="W5" s="4" t="s">
        <v>93</v>
      </c>
      <c r="X5" s="4" t="s">
        <v>94</v>
      </c>
      <c r="Y5" s="4" t="s">
        <v>95</v>
      </c>
      <c r="Z5" s="4" t="s">
        <v>96</v>
      </c>
      <c r="AA5" s="4" t="s">
        <v>97</v>
      </c>
      <c r="AB5" s="4" t="s">
        <v>98</v>
      </c>
      <c r="AC5" s="4" t="s">
        <v>70</v>
      </c>
      <c r="AD5" s="4" t="s">
        <v>99</v>
      </c>
      <c r="AE5" s="4" t="s">
        <v>52</v>
      </c>
      <c r="AF5" s="4" t="s">
        <v>100</v>
      </c>
      <c r="AG5" s="4" t="s">
        <v>101</v>
      </c>
      <c r="AH5" s="4" t="s">
        <v>102</v>
      </c>
      <c r="AI5" s="4" t="s">
        <v>103</v>
      </c>
      <c r="AJ5" s="4" t="s">
        <v>104</v>
      </c>
      <c r="AL5" s="345">
        <v>5</v>
      </c>
      <c r="AM5" s="341" t="s">
        <v>5</v>
      </c>
      <c r="AN5" s="345">
        <v>5002</v>
      </c>
      <c r="AO5" s="341" t="s">
        <v>45</v>
      </c>
      <c r="AP5" t="s">
        <v>105</v>
      </c>
      <c r="AQ5">
        <v>5002</v>
      </c>
      <c r="AR5" s="350">
        <v>99.01</v>
      </c>
      <c r="AS5" s="350">
        <v>99.24</v>
      </c>
      <c r="AT5" s="350">
        <v>98.84</v>
      </c>
    </row>
    <row r="6" spans="1:46">
      <c r="A6" t="s">
        <v>9</v>
      </c>
      <c r="D6" s="4" t="s">
        <v>106</v>
      </c>
      <c r="E6" s="4" t="s">
        <v>107</v>
      </c>
      <c r="F6" s="4" t="s">
        <v>108</v>
      </c>
      <c r="H6" s="4" t="s">
        <v>109</v>
      </c>
      <c r="J6" s="4" t="s">
        <v>110</v>
      </c>
      <c r="K6" s="4" t="s">
        <v>111</v>
      </c>
      <c r="L6" s="4" t="s">
        <v>112</v>
      </c>
      <c r="M6" s="4" t="s">
        <v>113</v>
      </c>
      <c r="N6" s="4" t="s">
        <v>114</v>
      </c>
      <c r="O6" s="4" t="s">
        <v>99</v>
      </c>
      <c r="P6" s="4" t="s">
        <v>115</v>
      </c>
      <c r="Q6" s="4" t="s">
        <v>116</v>
      </c>
      <c r="R6" s="4" t="s">
        <v>117</v>
      </c>
      <c r="S6" s="4" t="s">
        <v>118</v>
      </c>
      <c r="T6" s="4" t="s">
        <v>119</v>
      </c>
      <c r="U6" s="4" t="s">
        <v>120</v>
      </c>
      <c r="V6" s="4" t="s">
        <v>121</v>
      </c>
      <c r="W6" s="4" t="s">
        <v>122</v>
      </c>
      <c r="X6" s="4" t="s">
        <v>123</v>
      </c>
      <c r="Y6" s="4" t="s">
        <v>124</v>
      </c>
      <c r="Z6" s="4" t="s">
        <v>125</v>
      </c>
      <c r="AA6" s="4" t="s">
        <v>126</v>
      </c>
      <c r="AB6" s="4" t="s">
        <v>127</v>
      </c>
      <c r="AC6" s="4" t="s">
        <v>128</v>
      </c>
      <c r="AD6" s="4" t="s">
        <v>129</v>
      </c>
      <c r="AE6" s="4" t="s">
        <v>130</v>
      </c>
      <c r="AF6" s="4" t="s">
        <v>131</v>
      </c>
      <c r="AG6" s="4" t="s">
        <v>132</v>
      </c>
      <c r="AH6" s="4" t="s">
        <v>133</v>
      </c>
      <c r="AI6" s="4" t="s">
        <v>134</v>
      </c>
      <c r="AJ6" s="4" t="s">
        <v>135</v>
      </c>
      <c r="AL6" s="346">
        <v>5</v>
      </c>
      <c r="AM6" s="342" t="s">
        <v>5</v>
      </c>
      <c r="AN6" s="346">
        <v>5004</v>
      </c>
      <c r="AO6" s="342" t="s">
        <v>78</v>
      </c>
      <c r="AP6" t="s">
        <v>136</v>
      </c>
      <c r="AQ6">
        <v>5004</v>
      </c>
      <c r="AR6" s="350">
        <v>94.72</v>
      </c>
      <c r="AS6" s="350">
        <v>98.27</v>
      </c>
      <c r="AT6" s="350">
        <v>92.43</v>
      </c>
    </row>
    <row r="7" spans="1:46">
      <c r="A7" t="s">
        <v>10</v>
      </c>
      <c r="D7" s="4" t="s">
        <v>137</v>
      </c>
      <c r="E7" s="4" t="s">
        <v>138</v>
      </c>
      <c r="F7" s="4" t="s">
        <v>139</v>
      </c>
      <c r="H7" s="4" t="s">
        <v>140</v>
      </c>
      <c r="J7" s="4" t="s">
        <v>141</v>
      </c>
      <c r="K7" s="4" t="s">
        <v>142</v>
      </c>
      <c r="L7" s="4" t="s">
        <v>143</v>
      </c>
      <c r="M7" s="4" t="s">
        <v>144</v>
      </c>
      <c r="N7" s="4" t="s">
        <v>145</v>
      </c>
      <c r="O7" s="4" t="s">
        <v>10</v>
      </c>
      <c r="P7" s="4" t="s">
        <v>146</v>
      </c>
      <c r="Q7" s="4" t="s">
        <v>147</v>
      </c>
      <c r="R7" s="4" t="s">
        <v>148</v>
      </c>
      <c r="S7" s="4" t="s">
        <v>149</v>
      </c>
      <c r="T7" s="4" t="s">
        <v>150</v>
      </c>
      <c r="U7" s="4" t="s">
        <v>151</v>
      </c>
      <c r="V7" s="4" t="s">
        <v>152</v>
      </c>
      <c r="W7" s="4" t="s">
        <v>153</v>
      </c>
      <c r="X7" s="4" t="s">
        <v>154</v>
      </c>
      <c r="Y7" s="4" t="s">
        <v>155</v>
      </c>
      <c r="Z7" s="4" t="s">
        <v>156</v>
      </c>
      <c r="AA7" s="4" t="s">
        <v>157</v>
      </c>
      <c r="AB7" s="4" t="s">
        <v>158</v>
      </c>
      <c r="AC7" s="4" t="s">
        <v>159</v>
      </c>
      <c r="AD7" s="4" t="s">
        <v>160</v>
      </c>
      <c r="AE7" s="4" t="s">
        <v>161</v>
      </c>
      <c r="AF7" s="4" t="s">
        <v>162</v>
      </c>
      <c r="AG7" s="4" t="s">
        <v>163</v>
      </c>
      <c r="AH7" s="4" t="s">
        <v>87</v>
      </c>
      <c r="AI7" s="4" t="s">
        <v>164</v>
      </c>
      <c r="AJ7" s="4" t="s">
        <v>165</v>
      </c>
      <c r="AL7" s="345">
        <v>5</v>
      </c>
      <c r="AM7" s="341" t="s">
        <v>5</v>
      </c>
      <c r="AN7" s="345">
        <v>5021</v>
      </c>
      <c r="AO7" s="341" t="s">
        <v>107</v>
      </c>
      <c r="AP7" t="s">
        <v>166</v>
      </c>
      <c r="AQ7">
        <v>5021</v>
      </c>
      <c r="AR7" s="350">
        <v>98.91</v>
      </c>
      <c r="AS7" s="350">
        <v>99.26</v>
      </c>
      <c r="AT7" s="350">
        <v>98.4</v>
      </c>
    </row>
    <row r="8" spans="1:46">
      <c r="A8" t="s">
        <v>11</v>
      </c>
      <c r="D8" s="4" t="s">
        <v>167</v>
      </c>
      <c r="E8" s="4" t="s">
        <v>168</v>
      </c>
      <c r="F8" s="4" t="s">
        <v>169</v>
      </c>
      <c r="H8" s="4" t="s">
        <v>170</v>
      </c>
      <c r="J8" s="4" t="s">
        <v>171</v>
      </c>
      <c r="K8" s="4" t="s">
        <v>172</v>
      </c>
      <c r="L8" s="4" t="s">
        <v>173</v>
      </c>
      <c r="M8" s="4" t="s">
        <v>174</v>
      </c>
      <c r="N8" s="4" t="s">
        <v>175</v>
      </c>
      <c r="O8" s="4" t="s">
        <v>176</v>
      </c>
      <c r="P8" s="4" t="s">
        <v>177</v>
      </c>
      <c r="Q8" s="4" t="s">
        <v>178</v>
      </c>
      <c r="R8" s="4" t="s">
        <v>179</v>
      </c>
      <c r="S8" s="4" t="s">
        <v>180</v>
      </c>
      <c r="T8" s="4" t="s">
        <v>181</v>
      </c>
      <c r="V8" s="4" t="s">
        <v>182</v>
      </c>
      <c r="W8" s="4" t="s">
        <v>183</v>
      </c>
      <c r="X8" s="4" t="s">
        <v>184</v>
      </c>
      <c r="Y8" s="4" t="s">
        <v>185</v>
      </c>
      <c r="Z8" s="4" t="s">
        <v>186</v>
      </c>
      <c r="AA8" s="4" t="s">
        <v>187</v>
      </c>
      <c r="AB8" s="4" t="s">
        <v>188</v>
      </c>
      <c r="AC8" s="4" t="s">
        <v>18</v>
      </c>
      <c r="AD8" s="4" t="s">
        <v>189</v>
      </c>
      <c r="AE8" s="4" t="s">
        <v>190</v>
      </c>
      <c r="AF8" s="4" t="s">
        <v>191</v>
      </c>
      <c r="AG8" s="4" t="s">
        <v>192</v>
      </c>
      <c r="AH8" s="4" t="s">
        <v>10</v>
      </c>
      <c r="AI8" s="4" t="s">
        <v>193</v>
      </c>
      <c r="AL8" s="346">
        <v>5</v>
      </c>
      <c r="AM8" s="342" t="s">
        <v>5</v>
      </c>
      <c r="AN8" s="346">
        <v>5030</v>
      </c>
      <c r="AO8" s="342" t="s">
        <v>138</v>
      </c>
      <c r="AP8" t="s">
        <v>194</v>
      </c>
      <c r="AQ8">
        <v>5030</v>
      </c>
      <c r="AR8" s="350">
        <v>98.72</v>
      </c>
      <c r="AS8" s="350">
        <v>99.5</v>
      </c>
      <c r="AT8" s="350">
        <v>97.98</v>
      </c>
    </row>
    <row r="9" spans="1:46">
      <c r="A9" t="s">
        <v>12</v>
      </c>
      <c r="D9" s="4" t="s">
        <v>195</v>
      </c>
      <c r="E9" s="4" t="s">
        <v>196</v>
      </c>
      <c r="F9" s="4" t="s">
        <v>197</v>
      </c>
      <c r="H9" s="4" t="s">
        <v>198</v>
      </c>
      <c r="J9" s="4" t="s">
        <v>199</v>
      </c>
      <c r="K9" s="4" t="s">
        <v>200</v>
      </c>
      <c r="L9" s="4" t="s">
        <v>201</v>
      </c>
      <c r="M9" s="4" t="s">
        <v>202</v>
      </c>
      <c r="N9" s="4" t="s">
        <v>203</v>
      </c>
      <c r="O9" s="4" t="s">
        <v>204</v>
      </c>
      <c r="P9" s="4" t="s">
        <v>205</v>
      </c>
      <c r="Q9" s="4" t="s">
        <v>206</v>
      </c>
      <c r="R9" s="4" t="s">
        <v>207</v>
      </c>
      <c r="S9" s="4" t="s">
        <v>208</v>
      </c>
      <c r="T9" s="4" t="s">
        <v>209</v>
      </c>
      <c r="V9" s="4" t="s">
        <v>210</v>
      </c>
      <c r="W9" s="4" t="s">
        <v>211</v>
      </c>
      <c r="X9" s="4" t="s">
        <v>212</v>
      </c>
      <c r="Y9" s="4" t="s">
        <v>213</v>
      </c>
      <c r="Z9" s="4" t="s">
        <v>142</v>
      </c>
      <c r="AA9" s="4" t="s">
        <v>214</v>
      </c>
      <c r="AB9" s="4" t="s">
        <v>215</v>
      </c>
      <c r="AC9" s="4" t="s">
        <v>216</v>
      </c>
      <c r="AD9" s="4" t="s">
        <v>217</v>
      </c>
      <c r="AE9" s="4" t="s">
        <v>218</v>
      </c>
      <c r="AF9" s="4" t="s">
        <v>219</v>
      </c>
      <c r="AG9" s="4" t="s">
        <v>220</v>
      </c>
      <c r="AH9" s="4" t="s">
        <v>221</v>
      </c>
      <c r="AI9" s="4" t="s">
        <v>222</v>
      </c>
      <c r="AL9" s="345">
        <v>5</v>
      </c>
      <c r="AM9" s="341" t="s">
        <v>5</v>
      </c>
      <c r="AN9" s="345">
        <v>5031</v>
      </c>
      <c r="AO9" s="341" t="s">
        <v>168</v>
      </c>
      <c r="AP9" t="s">
        <v>223</v>
      </c>
      <c r="AQ9">
        <v>5031</v>
      </c>
      <c r="AR9" s="350">
        <v>90.09</v>
      </c>
      <c r="AS9" s="350">
        <v>99.5</v>
      </c>
      <c r="AT9" s="350">
        <v>77.16</v>
      </c>
    </row>
    <row r="10" spans="1:46">
      <c r="A10" t="s">
        <v>13</v>
      </c>
      <c r="D10" s="4" t="s">
        <v>224</v>
      </c>
      <c r="E10" s="4" t="s">
        <v>225</v>
      </c>
      <c r="F10" s="4" t="s">
        <v>226</v>
      </c>
      <c r="H10" s="4" t="s">
        <v>227</v>
      </c>
      <c r="J10" s="4" t="s">
        <v>60</v>
      </c>
      <c r="K10" s="4" t="s">
        <v>228</v>
      </c>
      <c r="L10" s="4" t="s">
        <v>229</v>
      </c>
      <c r="M10" s="4" t="s">
        <v>230</v>
      </c>
      <c r="N10" s="4" t="s">
        <v>231</v>
      </c>
      <c r="O10" s="4" t="s">
        <v>232</v>
      </c>
      <c r="P10" s="4" t="s">
        <v>233</v>
      </c>
      <c r="Q10" s="4" t="s">
        <v>234</v>
      </c>
      <c r="R10" s="4" t="s">
        <v>235</v>
      </c>
      <c r="S10" s="4" t="s">
        <v>236</v>
      </c>
      <c r="T10" s="4" t="s">
        <v>237</v>
      </c>
      <c r="V10" s="4" t="s">
        <v>238</v>
      </c>
      <c r="W10" s="4" t="s">
        <v>239</v>
      </c>
      <c r="X10" s="4" t="s">
        <v>240</v>
      </c>
      <c r="Y10" s="4" t="s">
        <v>241</v>
      </c>
      <c r="Z10" s="4" t="s">
        <v>242</v>
      </c>
      <c r="AA10" s="4" t="s">
        <v>243</v>
      </c>
      <c r="AB10" s="4" t="s">
        <v>244</v>
      </c>
      <c r="AC10" s="4" t="s">
        <v>245</v>
      </c>
      <c r="AD10" s="4" t="s">
        <v>246</v>
      </c>
      <c r="AE10" s="4" t="s">
        <v>247</v>
      </c>
      <c r="AF10" s="4" t="s">
        <v>248</v>
      </c>
      <c r="AG10" s="4" t="s">
        <v>249</v>
      </c>
      <c r="AH10" s="4" t="s">
        <v>250</v>
      </c>
      <c r="AL10" s="346">
        <v>5</v>
      </c>
      <c r="AM10" s="342" t="s">
        <v>5</v>
      </c>
      <c r="AN10" s="346">
        <v>5034</v>
      </c>
      <c r="AO10" s="342" t="s">
        <v>196</v>
      </c>
      <c r="AP10" t="s">
        <v>251</v>
      </c>
      <c r="AQ10">
        <v>5034</v>
      </c>
      <c r="AR10" s="350">
        <v>98.88</v>
      </c>
      <c r="AS10" s="350">
        <v>99.74</v>
      </c>
      <c r="AT10" s="350">
        <v>98</v>
      </c>
    </row>
    <row r="11" spans="1:46">
      <c r="A11" t="s">
        <v>15</v>
      </c>
      <c r="D11" s="4" t="s">
        <v>252</v>
      </c>
      <c r="E11" s="4" t="s">
        <v>253</v>
      </c>
      <c r="H11" s="4" t="s">
        <v>254</v>
      </c>
      <c r="J11" s="4" t="s">
        <v>255</v>
      </c>
      <c r="K11" s="4" t="s">
        <v>11</v>
      </c>
      <c r="L11" s="4" t="s">
        <v>256</v>
      </c>
      <c r="M11" s="4" t="s">
        <v>257</v>
      </c>
      <c r="N11" s="4" t="s">
        <v>258</v>
      </c>
      <c r="O11" s="4" t="s">
        <v>259</v>
      </c>
      <c r="P11" s="4" t="s">
        <v>260</v>
      </c>
      <c r="Q11" s="4" t="s">
        <v>261</v>
      </c>
      <c r="R11" s="4" t="s">
        <v>262</v>
      </c>
      <c r="S11" s="4" t="s">
        <v>263</v>
      </c>
      <c r="T11" s="4" t="s">
        <v>264</v>
      </c>
      <c r="V11" s="4" t="s">
        <v>265</v>
      </c>
      <c r="W11" s="4" t="s">
        <v>266</v>
      </c>
      <c r="X11" s="4" t="s">
        <v>267</v>
      </c>
      <c r="Y11" s="4" t="s">
        <v>268</v>
      </c>
      <c r="Z11" s="4" t="s">
        <v>269</v>
      </c>
      <c r="AA11" s="4" t="s">
        <v>270</v>
      </c>
      <c r="AB11" s="4" t="s">
        <v>271</v>
      </c>
      <c r="AC11" s="4" t="s">
        <v>272</v>
      </c>
      <c r="AD11" s="4" t="s">
        <v>273</v>
      </c>
      <c r="AE11" s="4" t="s">
        <v>10</v>
      </c>
      <c r="AF11" s="4" t="s">
        <v>274</v>
      </c>
      <c r="AG11" s="4" t="s">
        <v>275</v>
      </c>
      <c r="AH11" s="4" t="s">
        <v>276</v>
      </c>
      <c r="AL11" s="345">
        <v>5</v>
      </c>
      <c r="AM11" s="341" t="s">
        <v>5</v>
      </c>
      <c r="AN11" s="345">
        <v>5036</v>
      </c>
      <c r="AO11" s="341" t="s">
        <v>225</v>
      </c>
      <c r="AP11" t="s">
        <v>277</v>
      </c>
      <c r="AQ11">
        <v>5036</v>
      </c>
      <c r="AR11" s="350">
        <v>98.48</v>
      </c>
      <c r="AS11" s="350">
        <v>99</v>
      </c>
      <c r="AT11" s="350">
        <v>98.12</v>
      </c>
    </row>
    <row r="12" spans="1:46">
      <c r="A12" t="s">
        <v>16</v>
      </c>
      <c r="D12" s="4" t="s">
        <v>278</v>
      </c>
      <c r="E12" s="4" t="s">
        <v>279</v>
      </c>
      <c r="H12" s="4" t="s">
        <v>280</v>
      </c>
      <c r="J12" s="4" t="s">
        <v>281</v>
      </c>
      <c r="K12" s="4" t="s">
        <v>282</v>
      </c>
      <c r="L12" s="4" t="s">
        <v>283</v>
      </c>
      <c r="M12" s="4" t="s">
        <v>284</v>
      </c>
      <c r="N12" s="4" t="s">
        <v>285</v>
      </c>
      <c r="O12" s="4" t="s">
        <v>286</v>
      </c>
      <c r="P12" s="4" t="s">
        <v>287</v>
      </c>
      <c r="Q12" s="4" t="s">
        <v>288</v>
      </c>
      <c r="R12" s="4" t="s">
        <v>289</v>
      </c>
      <c r="S12" s="4" t="s">
        <v>290</v>
      </c>
      <c r="V12" s="4" t="s">
        <v>291</v>
      </c>
      <c r="W12" s="4" t="s">
        <v>292</v>
      </c>
      <c r="X12" s="4" t="s">
        <v>293</v>
      </c>
      <c r="Y12" s="4" t="s">
        <v>294</v>
      </c>
      <c r="Z12" s="4" t="s">
        <v>66</v>
      </c>
      <c r="AA12" s="4" t="s">
        <v>295</v>
      </c>
      <c r="AB12" s="4" t="s">
        <v>296</v>
      </c>
      <c r="AC12" s="4" t="s">
        <v>297</v>
      </c>
      <c r="AD12" s="4" t="s">
        <v>298</v>
      </c>
      <c r="AE12" s="4" t="s">
        <v>299</v>
      </c>
      <c r="AF12" s="4" t="s">
        <v>300</v>
      </c>
      <c r="AG12" s="4" t="s">
        <v>301</v>
      </c>
      <c r="AH12" s="4" t="s">
        <v>302</v>
      </c>
      <c r="AL12" s="346">
        <v>5</v>
      </c>
      <c r="AM12" s="342" t="s">
        <v>5</v>
      </c>
      <c r="AN12" s="346">
        <v>5038</v>
      </c>
      <c r="AO12" s="342" t="s">
        <v>253</v>
      </c>
      <c r="AP12" t="s">
        <v>303</v>
      </c>
      <c r="AQ12">
        <v>5038</v>
      </c>
      <c r="AR12" s="350">
        <v>98.02</v>
      </c>
      <c r="AS12" s="350">
        <v>99.52</v>
      </c>
      <c r="AT12" s="350">
        <v>97.48</v>
      </c>
    </row>
    <row r="13" spans="1:46">
      <c r="A13" t="s">
        <v>18</v>
      </c>
      <c r="D13" s="4" t="s">
        <v>304</v>
      </c>
      <c r="E13" s="4" t="s">
        <v>305</v>
      </c>
      <c r="H13" s="4" t="s">
        <v>306</v>
      </c>
      <c r="J13" s="4" t="s">
        <v>307</v>
      </c>
      <c r="K13" s="4" t="s">
        <v>70</v>
      </c>
      <c r="L13" s="4" t="s">
        <v>308</v>
      </c>
      <c r="M13" s="4" t="s">
        <v>309</v>
      </c>
      <c r="N13" s="4" t="s">
        <v>310</v>
      </c>
      <c r="O13" s="4" t="s">
        <v>311</v>
      </c>
      <c r="P13" s="4" t="s">
        <v>312</v>
      </c>
      <c r="Q13" s="4" t="s">
        <v>313</v>
      </c>
      <c r="R13" s="4" t="s">
        <v>314</v>
      </c>
      <c r="S13" s="4" t="s">
        <v>315</v>
      </c>
      <c r="V13" s="4" t="s">
        <v>316</v>
      </c>
      <c r="W13" s="4" t="s">
        <v>317</v>
      </c>
      <c r="X13" s="4" t="s">
        <v>318</v>
      </c>
      <c r="Y13" s="4" t="s">
        <v>319</v>
      </c>
      <c r="Z13" s="4" t="s">
        <v>320</v>
      </c>
      <c r="AA13" s="4" t="s">
        <v>321</v>
      </c>
      <c r="AB13" s="4" t="s">
        <v>322</v>
      </c>
      <c r="AC13" s="4" t="s">
        <v>323</v>
      </c>
      <c r="AD13" s="4" t="s">
        <v>324</v>
      </c>
      <c r="AE13" s="4" t="s">
        <v>315</v>
      </c>
      <c r="AF13" s="4" t="s">
        <v>325</v>
      </c>
      <c r="AG13" s="4" t="s">
        <v>326</v>
      </c>
      <c r="AH13" s="4" t="s">
        <v>140</v>
      </c>
      <c r="AL13" s="345">
        <v>5</v>
      </c>
      <c r="AM13" s="341" t="s">
        <v>5</v>
      </c>
      <c r="AN13" s="345">
        <v>5040</v>
      </c>
      <c r="AO13" s="341" t="s">
        <v>279</v>
      </c>
      <c r="AP13" t="s">
        <v>327</v>
      </c>
      <c r="AQ13">
        <v>5040</v>
      </c>
      <c r="AR13" s="350">
        <v>88.51</v>
      </c>
      <c r="AS13" s="350">
        <v>96.35</v>
      </c>
      <c r="AT13" s="350">
        <v>81.19</v>
      </c>
    </row>
    <row r="14" spans="1:46">
      <c r="A14" t="s">
        <v>19</v>
      </c>
      <c r="D14" s="4" t="s">
        <v>328</v>
      </c>
      <c r="E14" s="4" t="s">
        <v>329</v>
      </c>
      <c r="H14" s="4" t="s">
        <v>330</v>
      </c>
      <c r="J14" s="4" t="s">
        <v>331</v>
      </c>
      <c r="K14" s="4" t="s">
        <v>332</v>
      </c>
      <c r="L14" s="4" t="s">
        <v>333</v>
      </c>
      <c r="M14" s="4" t="s">
        <v>334</v>
      </c>
      <c r="N14" s="4" t="s">
        <v>335</v>
      </c>
      <c r="O14" s="4" t="s">
        <v>230</v>
      </c>
      <c r="P14" s="4" t="s">
        <v>336</v>
      </c>
      <c r="Q14" s="4" t="s">
        <v>337</v>
      </c>
      <c r="R14" s="4" t="s">
        <v>338</v>
      </c>
      <c r="S14" s="4" t="s">
        <v>339</v>
      </c>
      <c r="V14" s="4" t="s">
        <v>340</v>
      </c>
      <c r="W14" s="4" t="s">
        <v>341</v>
      </c>
      <c r="X14" s="4" t="s">
        <v>342</v>
      </c>
      <c r="Y14" s="4" t="s">
        <v>343</v>
      </c>
      <c r="Z14" s="4" t="s">
        <v>344</v>
      </c>
      <c r="AA14" s="4" t="s">
        <v>345</v>
      </c>
      <c r="AB14" s="4" t="s">
        <v>346</v>
      </c>
      <c r="AC14" s="4" t="s">
        <v>347</v>
      </c>
      <c r="AD14" s="4" t="s">
        <v>348</v>
      </c>
      <c r="AE14" s="4" t="s">
        <v>349</v>
      </c>
      <c r="AF14" s="4" t="s">
        <v>350</v>
      </c>
      <c r="AG14" s="4" t="s">
        <v>351</v>
      </c>
      <c r="AH14" s="4" t="s">
        <v>352</v>
      </c>
      <c r="AL14" s="346">
        <v>5</v>
      </c>
      <c r="AM14" s="342" t="s">
        <v>5</v>
      </c>
      <c r="AN14" s="346">
        <v>5042</v>
      </c>
      <c r="AO14" s="342" t="s">
        <v>353</v>
      </c>
      <c r="AP14" t="s">
        <v>354</v>
      </c>
      <c r="AQ14">
        <v>5042</v>
      </c>
      <c r="AR14" s="350">
        <v>98.25</v>
      </c>
      <c r="AS14" s="350">
        <v>98.71</v>
      </c>
      <c r="AT14" s="350">
        <v>97.22</v>
      </c>
    </row>
    <row r="15" spans="1:46">
      <c r="A15" t="s">
        <v>17</v>
      </c>
      <c r="E15" s="4" t="s">
        <v>355</v>
      </c>
      <c r="H15" s="4" t="s">
        <v>356</v>
      </c>
      <c r="J15" s="4" t="s">
        <v>18</v>
      </c>
      <c r="K15" s="4" t="s">
        <v>12</v>
      </c>
      <c r="L15" s="4" t="s">
        <v>357</v>
      </c>
      <c r="M15" s="4" t="s">
        <v>358</v>
      </c>
      <c r="N15" s="4" t="s">
        <v>359</v>
      </c>
      <c r="O15" s="4" t="s">
        <v>360</v>
      </c>
      <c r="P15" s="4" t="s">
        <v>361</v>
      </c>
      <c r="Q15" s="4" t="s">
        <v>362</v>
      </c>
      <c r="R15" s="4" t="s">
        <v>363</v>
      </c>
      <c r="S15" s="4" t="s">
        <v>364</v>
      </c>
      <c r="V15" s="4" t="s">
        <v>365</v>
      </c>
      <c r="W15" s="4" t="s">
        <v>366</v>
      </c>
      <c r="X15" s="4" t="s">
        <v>367</v>
      </c>
      <c r="Y15" s="4" t="s">
        <v>367</v>
      </c>
      <c r="Z15" s="4" t="s">
        <v>18</v>
      </c>
      <c r="AA15" s="4" t="s">
        <v>368</v>
      </c>
      <c r="AB15" s="4" t="s">
        <v>369</v>
      </c>
      <c r="AC15" s="4" t="s">
        <v>370</v>
      </c>
      <c r="AD15" s="4" t="s">
        <v>371</v>
      </c>
      <c r="AE15" s="4" t="s">
        <v>372</v>
      </c>
      <c r="AF15" s="4" t="s">
        <v>373</v>
      </c>
      <c r="AG15" s="4" t="s">
        <v>374</v>
      </c>
      <c r="AH15" s="4" t="s">
        <v>375</v>
      </c>
      <c r="AL15" s="345">
        <v>5</v>
      </c>
      <c r="AM15" s="341" t="s">
        <v>5</v>
      </c>
      <c r="AN15" s="345">
        <v>5044</v>
      </c>
      <c r="AO15" s="341" t="s">
        <v>305</v>
      </c>
      <c r="AP15" t="s">
        <v>376</v>
      </c>
      <c r="AQ15">
        <v>5044</v>
      </c>
      <c r="AR15" s="350">
        <v>96.42</v>
      </c>
      <c r="AS15" s="350">
        <v>99.56</v>
      </c>
      <c r="AT15" s="350">
        <v>95.55</v>
      </c>
    </row>
    <row r="16" spans="1:46">
      <c r="A16" t="s">
        <v>22</v>
      </c>
      <c r="E16" s="4" t="s">
        <v>87</v>
      </c>
      <c r="H16" s="4" t="s">
        <v>377</v>
      </c>
      <c r="J16" s="4" t="s">
        <v>378</v>
      </c>
      <c r="K16" s="4" t="s">
        <v>379</v>
      </c>
      <c r="L16" s="4" t="s">
        <v>380</v>
      </c>
      <c r="M16" s="4" t="s">
        <v>381</v>
      </c>
      <c r="N16" s="4" t="s">
        <v>382</v>
      </c>
      <c r="O16" s="4" t="s">
        <v>383</v>
      </c>
      <c r="P16" s="4" t="s">
        <v>384</v>
      </c>
      <c r="Q16" s="4" t="s">
        <v>385</v>
      </c>
      <c r="R16" s="4" t="s">
        <v>386</v>
      </c>
      <c r="S16" s="4" t="s">
        <v>387</v>
      </c>
      <c r="V16" s="4" t="s">
        <v>388</v>
      </c>
      <c r="W16" s="4" t="s">
        <v>389</v>
      </c>
      <c r="X16" s="4" t="s">
        <v>390</v>
      </c>
      <c r="Y16" s="4" t="s">
        <v>391</v>
      </c>
      <c r="Z16" s="4" t="s">
        <v>392</v>
      </c>
      <c r="AA16" s="4" t="s">
        <v>393</v>
      </c>
      <c r="AB16" s="4" t="s">
        <v>394</v>
      </c>
      <c r="AD16" s="4" t="s">
        <v>395</v>
      </c>
      <c r="AE16" s="4" t="s">
        <v>396</v>
      </c>
      <c r="AF16" s="4" t="s">
        <v>397</v>
      </c>
      <c r="AG16" s="4" t="s">
        <v>398</v>
      </c>
      <c r="AH16" s="4" t="s">
        <v>399</v>
      </c>
      <c r="AL16" s="346">
        <v>5</v>
      </c>
      <c r="AM16" s="342" t="s">
        <v>5</v>
      </c>
      <c r="AN16" s="346">
        <v>5045</v>
      </c>
      <c r="AO16" s="342" t="s">
        <v>329</v>
      </c>
      <c r="AP16" t="s">
        <v>400</v>
      </c>
      <c r="AQ16">
        <v>5045</v>
      </c>
      <c r="AR16" s="350">
        <v>99.38</v>
      </c>
      <c r="AS16" s="350">
        <v>99.66</v>
      </c>
      <c r="AT16" s="350">
        <v>98.08</v>
      </c>
    </row>
    <row r="17" spans="1:46">
      <c r="A17" t="s">
        <v>23</v>
      </c>
      <c r="E17" s="4" t="s">
        <v>67</v>
      </c>
      <c r="H17" s="4" t="s">
        <v>237</v>
      </c>
      <c r="J17" s="4" t="s">
        <v>401</v>
      </c>
      <c r="K17" s="4" t="s">
        <v>402</v>
      </c>
      <c r="L17" s="4" t="s">
        <v>403</v>
      </c>
      <c r="M17" s="4" t="s">
        <v>404</v>
      </c>
      <c r="N17" s="4" t="s">
        <v>405</v>
      </c>
      <c r="O17" s="4" t="s">
        <v>406</v>
      </c>
      <c r="P17" s="4" t="s">
        <v>407</v>
      </c>
      <c r="Q17" s="4" t="s">
        <v>408</v>
      </c>
      <c r="R17" s="4" t="s">
        <v>409</v>
      </c>
      <c r="S17" s="4" t="s">
        <v>410</v>
      </c>
      <c r="V17" s="4" t="s">
        <v>411</v>
      </c>
      <c r="W17" s="4" t="s">
        <v>412</v>
      </c>
      <c r="X17" s="4" t="s">
        <v>413</v>
      </c>
      <c r="Y17" s="4" t="s">
        <v>414</v>
      </c>
      <c r="Z17" s="4" t="s">
        <v>415</v>
      </c>
      <c r="AA17" s="4" t="s">
        <v>416</v>
      </c>
      <c r="AD17" s="4" t="s">
        <v>417</v>
      </c>
      <c r="AE17" s="4" t="s">
        <v>418</v>
      </c>
      <c r="AF17" s="4" t="s">
        <v>419</v>
      </c>
      <c r="AG17" s="4" t="s">
        <v>420</v>
      </c>
      <c r="AH17" s="4" t="s">
        <v>421</v>
      </c>
      <c r="AL17" s="345">
        <v>5</v>
      </c>
      <c r="AM17" s="341" t="s">
        <v>5</v>
      </c>
      <c r="AN17" s="345">
        <v>5051</v>
      </c>
      <c r="AO17" s="341" t="s">
        <v>355</v>
      </c>
      <c r="AP17" t="s">
        <v>422</v>
      </c>
      <c r="AQ17">
        <v>5051</v>
      </c>
      <c r="AR17" s="350">
        <v>98.57</v>
      </c>
      <c r="AS17" s="350">
        <v>99.04</v>
      </c>
      <c r="AT17" s="350">
        <v>98.27</v>
      </c>
    </row>
    <row r="18" spans="1:46">
      <c r="A18" t="s">
        <v>24</v>
      </c>
      <c r="E18" s="4" t="s">
        <v>161</v>
      </c>
      <c r="H18" s="4" t="s">
        <v>423</v>
      </c>
      <c r="J18" s="4" t="s">
        <v>424</v>
      </c>
      <c r="K18" s="4" t="s">
        <v>425</v>
      </c>
      <c r="L18" s="4" t="s">
        <v>426</v>
      </c>
      <c r="M18" s="4" t="s">
        <v>427</v>
      </c>
      <c r="N18" s="4" t="s">
        <v>428</v>
      </c>
      <c r="O18" s="4" t="s">
        <v>429</v>
      </c>
      <c r="P18" s="4" t="s">
        <v>430</v>
      </c>
      <c r="Q18" s="4" t="s">
        <v>431</v>
      </c>
      <c r="R18" s="4" t="s">
        <v>432</v>
      </c>
      <c r="S18" s="4" t="s">
        <v>433</v>
      </c>
      <c r="V18" s="4" t="s">
        <v>434</v>
      </c>
      <c r="W18" s="4" t="s">
        <v>435</v>
      </c>
      <c r="X18" s="4" t="s">
        <v>436</v>
      </c>
      <c r="Y18" s="4" t="s">
        <v>437</v>
      </c>
      <c r="Z18" s="4" t="s">
        <v>438</v>
      </c>
      <c r="AA18" s="4" t="s">
        <v>439</v>
      </c>
      <c r="AE18" s="4" t="s">
        <v>440</v>
      </c>
      <c r="AF18" s="4" t="s">
        <v>441</v>
      </c>
      <c r="AG18" s="4" t="s">
        <v>442</v>
      </c>
      <c r="AH18" s="4" t="s">
        <v>443</v>
      </c>
      <c r="AL18" s="346">
        <v>5</v>
      </c>
      <c r="AM18" s="342" t="s">
        <v>5</v>
      </c>
      <c r="AN18" s="346">
        <v>5055</v>
      </c>
      <c r="AO18" s="342" t="s">
        <v>87</v>
      </c>
      <c r="AP18" t="s">
        <v>444</v>
      </c>
      <c r="AQ18">
        <v>5055</v>
      </c>
      <c r="AR18" s="350">
        <v>97.82</v>
      </c>
      <c r="AS18" s="350">
        <v>99.01</v>
      </c>
      <c r="AT18" s="350">
        <v>96.65</v>
      </c>
    </row>
    <row r="19" spans="1:46">
      <c r="A19" t="s">
        <v>25</v>
      </c>
      <c r="E19" s="4" t="s">
        <v>445</v>
      </c>
      <c r="H19" s="4" t="s">
        <v>446</v>
      </c>
      <c r="J19" s="4" t="s">
        <v>447</v>
      </c>
      <c r="K19" s="4" t="s">
        <v>448</v>
      </c>
      <c r="L19" s="4" t="s">
        <v>449</v>
      </c>
      <c r="M19" s="4" t="s">
        <v>450</v>
      </c>
      <c r="N19" s="4" t="s">
        <v>451</v>
      </c>
      <c r="O19" s="4" t="s">
        <v>452</v>
      </c>
      <c r="P19" s="4" t="s">
        <v>453</v>
      </c>
      <c r="Q19" s="4" t="s">
        <v>454</v>
      </c>
      <c r="R19" s="4" t="s">
        <v>455</v>
      </c>
      <c r="S19" s="4" t="s">
        <v>456</v>
      </c>
      <c r="V19" s="4" t="s">
        <v>457</v>
      </c>
      <c r="X19" s="4" t="s">
        <v>458</v>
      </c>
      <c r="Y19" s="4" t="s">
        <v>459</v>
      </c>
      <c r="Z19" s="4" t="s">
        <v>460</v>
      </c>
      <c r="AA19" s="4" t="s">
        <v>461</v>
      </c>
      <c r="AE19" s="4" t="s">
        <v>462</v>
      </c>
      <c r="AF19" s="4" t="s">
        <v>463</v>
      </c>
      <c r="AG19" s="4" t="s">
        <v>464</v>
      </c>
      <c r="AH19" s="4" t="s">
        <v>465</v>
      </c>
      <c r="AL19" s="345">
        <v>5</v>
      </c>
      <c r="AM19" s="341" t="s">
        <v>5</v>
      </c>
      <c r="AN19" s="345">
        <v>5059</v>
      </c>
      <c r="AO19" s="341" t="s">
        <v>67</v>
      </c>
      <c r="AP19" t="s">
        <v>466</v>
      </c>
      <c r="AQ19">
        <v>5059</v>
      </c>
      <c r="AR19" s="350">
        <v>98.11</v>
      </c>
      <c r="AS19" s="350">
        <v>99.61</v>
      </c>
      <c r="AT19" s="350">
        <v>97.21</v>
      </c>
    </row>
    <row r="20" spans="1:46">
      <c r="A20" t="s">
        <v>26</v>
      </c>
      <c r="E20" s="4" t="s">
        <v>467</v>
      </c>
      <c r="H20" s="4" t="s">
        <v>359</v>
      </c>
      <c r="J20" s="4" t="s">
        <v>468</v>
      </c>
      <c r="K20" s="4" t="s">
        <v>469</v>
      </c>
      <c r="L20" s="4" t="s">
        <v>470</v>
      </c>
      <c r="N20" s="4" t="s">
        <v>471</v>
      </c>
      <c r="O20" s="4" t="s">
        <v>472</v>
      </c>
      <c r="P20" s="4" t="s">
        <v>473</v>
      </c>
      <c r="Q20" s="4" t="s">
        <v>474</v>
      </c>
      <c r="R20" s="4" t="s">
        <v>475</v>
      </c>
      <c r="S20" s="4" t="s">
        <v>476</v>
      </c>
      <c r="V20" s="4" t="s">
        <v>477</v>
      </c>
      <c r="X20" s="4" t="s">
        <v>478</v>
      </c>
      <c r="Y20" s="4" t="s">
        <v>479</v>
      </c>
      <c r="Z20" s="4" t="s">
        <v>480</v>
      </c>
      <c r="AA20" s="4" t="s">
        <v>481</v>
      </c>
      <c r="AE20" s="4" t="s">
        <v>482</v>
      </c>
      <c r="AF20" s="4" t="s">
        <v>483</v>
      </c>
      <c r="AG20" s="4" t="s">
        <v>484</v>
      </c>
      <c r="AH20" s="4" t="s">
        <v>485</v>
      </c>
      <c r="AL20" s="346">
        <v>5</v>
      </c>
      <c r="AM20" s="342" t="s">
        <v>5</v>
      </c>
      <c r="AN20" s="346">
        <v>5079</v>
      </c>
      <c r="AO20" s="342" t="s">
        <v>161</v>
      </c>
      <c r="AP20" t="s">
        <v>486</v>
      </c>
      <c r="AQ20">
        <v>5079</v>
      </c>
      <c r="AR20" s="350">
        <v>99.48</v>
      </c>
      <c r="AS20" s="350">
        <v>99.54</v>
      </c>
      <c r="AT20" s="350">
        <v>99.44</v>
      </c>
    </row>
    <row r="21" spans="1:46">
      <c r="A21" t="s">
        <v>27</v>
      </c>
      <c r="E21" s="4" t="s">
        <v>487</v>
      </c>
      <c r="H21" s="4" t="s">
        <v>488</v>
      </c>
      <c r="J21" s="4" t="s">
        <v>489</v>
      </c>
      <c r="K21" s="4" t="s">
        <v>490</v>
      </c>
      <c r="L21" s="4" t="s">
        <v>491</v>
      </c>
      <c r="N21" s="4" t="s">
        <v>435</v>
      </c>
      <c r="O21" s="4" t="s">
        <v>492</v>
      </c>
      <c r="P21" s="4" t="s">
        <v>493</v>
      </c>
      <c r="Q21" s="4" t="s">
        <v>494</v>
      </c>
      <c r="R21" s="4" t="s">
        <v>495</v>
      </c>
      <c r="S21" s="4" t="s">
        <v>496</v>
      </c>
      <c r="V21" s="4" t="s">
        <v>497</v>
      </c>
      <c r="X21" s="4" t="s">
        <v>498</v>
      </c>
      <c r="Y21" s="4" t="s">
        <v>499</v>
      </c>
      <c r="Z21" s="4" t="s">
        <v>500</v>
      </c>
      <c r="AA21" s="4" t="s">
        <v>501</v>
      </c>
      <c r="AE21" s="4" t="s">
        <v>502</v>
      </c>
      <c r="AF21" s="4" t="s">
        <v>503</v>
      </c>
      <c r="AG21" s="4" t="s">
        <v>504</v>
      </c>
      <c r="AH21" s="4" t="s">
        <v>505</v>
      </c>
      <c r="AL21" s="345">
        <v>5</v>
      </c>
      <c r="AM21" s="341" t="s">
        <v>5</v>
      </c>
      <c r="AN21" s="345">
        <v>5086</v>
      </c>
      <c r="AO21" s="341" t="s">
        <v>467</v>
      </c>
      <c r="AP21" t="s">
        <v>506</v>
      </c>
      <c r="AQ21">
        <v>5086</v>
      </c>
      <c r="AR21" s="350">
        <v>98.51</v>
      </c>
      <c r="AS21" s="350">
        <v>98.79</v>
      </c>
      <c r="AT21" s="350">
        <v>98.37</v>
      </c>
    </row>
    <row r="22" spans="1:46">
      <c r="A22" t="s">
        <v>29</v>
      </c>
      <c r="E22" s="4" t="s">
        <v>247</v>
      </c>
      <c r="H22" s="4" t="s">
        <v>507</v>
      </c>
      <c r="J22" s="4" t="s">
        <v>508</v>
      </c>
      <c r="K22" s="4" t="s">
        <v>509</v>
      </c>
      <c r="L22" s="4" t="s">
        <v>510</v>
      </c>
      <c r="N22" s="4" t="s">
        <v>511</v>
      </c>
      <c r="O22" s="4" t="s">
        <v>512</v>
      </c>
      <c r="P22" s="4" t="s">
        <v>513</v>
      </c>
      <c r="Q22" s="4" t="s">
        <v>514</v>
      </c>
      <c r="R22" s="4" t="s">
        <v>515</v>
      </c>
      <c r="S22" s="4" t="s">
        <v>516</v>
      </c>
      <c r="V22" s="4" t="s">
        <v>517</v>
      </c>
      <c r="X22" s="4" t="s">
        <v>518</v>
      </c>
      <c r="Y22" s="4" t="s">
        <v>519</v>
      </c>
      <c r="Z22" s="4" t="s">
        <v>520</v>
      </c>
      <c r="AA22" s="4" t="s">
        <v>521</v>
      </c>
      <c r="AE22" s="4" t="s">
        <v>522</v>
      </c>
      <c r="AF22" s="4" t="s">
        <v>523</v>
      </c>
      <c r="AG22" s="4" t="s">
        <v>524</v>
      </c>
      <c r="AH22" s="4" t="s">
        <v>525</v>
      </c>
      <c r="AL22" s="346">
        <v>5</v>
      </c>
      <c r="AM22" s="342" t="s">
        <v>5</v>
      </c>
      <c r="AN22" s="346">
        <v>5088</v>
      </c>
      <c r="AO22" s="342" t="s">
        <v>445</v>
      </c>
      <c r="AP22" t="s">
        <v>526</v>
      </c>
      <c r="AQ22">
        <v>5088</v>
      </c>
      <c r="AR22" s="350">
        <v>99.15</v>
      </c>
      <c r="AS22" s="350">
        <v>99.17</v>
      </c>
      <c r="AT22" s="350">
        <v>98.74</v>
      </c>
    </row>
    <row r="23" spans="1:46">
      <c r="A23" t="s">
        <v>30</v>
      </c>
      <c r="E23" s="4" t="s">
        <v>282</v>
      </c>
      <c r="H23" s="4" t="s">
        <v>527</v>
      </c>
      <c r="J23" s="4" t="s">
        <v>528</v>
      </c>
      <c r="K23" s="4" t="s">
        <v>529</v>
      </c>
      <c r="L23" s="4" t="s">
        <v>30</v>
      </c>
      <c r="O23" s="4" t="s">
        <v>530</v>
      </c>
      <c r="P23" s="4" t="s">
        <v>531</v>
      </c>
      <c r="Q23" s="4" t="s">
        <v>532</v>
      </c>
      <c r="R23" s="4" t="s">
        <v>533</v>
      </c>
      <c r="S23" s="4" t="s">
        <v>534</v>
      </c>
      <c r="V23" s="4" t="s">
        <v>535</v>
      </c>
      <c r="X23" s="4" t="s">
        <v>536</v>
      </c>
      <c r="Y23" s="4" t="s">
        <v>537</v>
      </c>
      <c r="Z23" s="4" t="s">
        <v>311</v>
      </c>
      <c r="AA23" s="4" t="s">
        <v>538</v>
      </c>
      <c r="AE23" s="4" t="s">
        <v>539</v>
      </c>
      <c r="AF23" s="4" t="s">
        <v>540</v>
      </c>
      <c r="AG23" s="4" t="s">
        <v>541</v>
      </c>
      <c r="AH23" s="4" t="s">
        <v>542</v>
      </c>
      <c r="AL23" s="345">
        <v>5</v>
      </c>
      <c r="AM23" s="341" t="s">
        <v>5</v>
      </c>
      <c r="AN23" s="345">
        <v>5091</v>
      </c>
      <c r="AO23" s="341" t="s">
        <v>487</v>
      </c>
      <c r="AP23" t="s">
        <v>543</v>
      </c>
      <c r="AQ23">
        <v>5091</v>
      </c>
      <c r="AR23" s="350">
        <v>98.19</v>
      </c>
      <c r="AS23" s="350">
        <v>98.76</v>
      </c>
      <c r="AT23" s="350">
        <v>97.75</v>
      </c>
    </row>
    <row r="24" spans="1:46">
      <c r="A24" t="s">
        <v>31</v>
      </c>
      <c r="E24" s="4" t="s">
        <v>544</v>
      </c>
      <c r="H24" s="4" t="s">
        <v>545</v>
      </c>
      <c r="J24" s="4" t="s">
        <v>546</v>
      </c>
      <c r="K24" s="4" t="s">
        <v>547</v>
      </c>
      <c r="L24" s="4" t="s">
        <v>548</v>
      </c>
      <c r="O24" s="4" t="s">
        <v>549</v>
      </c>
      <c r="P24" s="4" t="s">
        <v>550</v>
      </c>
      <c r="Q24" s="4" t="s">
        <v>551</v>
      </c>
      <c r="R24" s="4" t="s">
        <v>552</v>
      </c>
      <c r="S24" s="4" t="s">
        <v>553</v>
      </c>
      <c r="V24" s="4" t="s">
        <v>554</v>
      </c>
      <c r="X24" s="4" t="s">
        <v>548</v>
      </c>
      <c r="Y24" s="4" t="s">
        <v>334</v>
      </c>
      <c r="Z24" s="4" t="s">
        <v>555</v>
      </c>
      <c r="AA24" s="4" t="s">
        <v>556</v>
      </c>
      <c r="AE24" s="4" t="s">
        <v>557</v>
      </c>
      <c r="AF24" s="4" t="s">
        <v>558</v>
      </c>
      <c r="AG24" s="4" t="s">
        <v>559</v>
      </c>
      <c r="AH24" s="4" t="s">
        <v>560</v>
      </c>
      <c r="AL24" s="346">
        <v>5</v>
      </c>
      <c r="AM24" s="342" t="s">
        <v>5</v>
      </c>
      <c r="AN24" s="346">
        <v>5093</v>
      </c>
      <c r="AO24" s="342" t="s">
        <v>247</v>
      </c>
      <c r="AP24" t="s">
        <v>561</v>
      </c>
      <c r="AQ24">
        <v>5093</v>
      </c>
      <c r="AR24" s="350">
        <v>97.37</v>
      </c>
      <c r="AS24" s="350">
        <v>97.88</v>
      </c>
      <c r="AT24" s="350">
        <v>97.15</v>
      </c>
    </row>
    <row r="25" spans="1:46">
      <c r="A25" t="s">
        <v>32</v>
      </c>
      <c r="E25" s="4" t="s">
        <v>562</v>
      </c>
      <c r="H25" s="4" t="s">
        <v>563</v>
      </c>
      <c r="J25" s="4" t="s">
        <v>549</v>
      </c>
      <c r="K25" s="4" t="s">
        <v>564</v>
      </c>
      <c r="L25" s="4" t="s">
        <v>565</v>
      </c>
      <c r="O25" s="4" t="s">
        <v>566</v>
      </c>
      <c r="P25" s="4" t="s">
        <v>567</v>
      </c>
      <c r="Q25" s="4" t="s">
        <v>568</v>
      </c>
      <c r="R25" s="4" t="s">
        <v>569</v>
      </c>
      <c r="S25" s="4" t="s">
        <v>570</v>
      </c>
      <c r="V25" s="4" t="s">
        <v>571</v>
      </c>
      <c r="X25" s="4" t="s">
        <v>572</v>
      </c>
      <c r="Y25" s="4" t="s">
        <v>573</v>
      </c>
      <c r="Z25" s="4" t="s">
        <v>574</v>
      </c>
      <c r="AA25" s="4" t="s">
        <v>575</v>
      </c>
      <c r="AE25" s="4" t="s">
        <v>576</v>
      </c>
      <c r="AF25" s="4" t="s">
        <v>577</v>
      </c>
      <c r="AG25" s="4" t="s">
        <v>578</v>
      </c>
      <c r="AH25" s="4" t="s">
        <v>579</v>
      </c>
      <c r="AL25" s="345">
        <v>5</v>
      </c>
      <c r="AM25" s="341" t="s">
        <v>5</v>
      </c>
      <c r="AN25" s="345">
        <v>5101</v>
      </c>
      <c r="AO25" s="341" t="s">
        <v>580</v>
      </c>
      <c r="AP25" t="s">
        <v>581</v>
      </c>
      <c r="AQ25">
        <v>5101</v>
      </c>
      <c r="AR25" s="350">
        <v>99.09</v>
      </c>
      <c r="AS25" s="350">
        <v>99.55</v>
      </c>
      <c r="AT25" s="350">
        <v>98.17</v>
      </c>
    </row>
    <row r="26" spans="1:46">
      <c r="A26" t="s">
        <v>33</v>
      </c>
      <c r="E26" s="4" t="s">
        <v>582</v>
      </c>
      <c r="H26" s="4" t="s">
        <v>583</v>
      </c>
      <c r="J26" s="4" t="s">
        <v>584</v>
      </c>
      <c r="K26" s="4" t="s">
        <v>585</v>
      </c>
      <c r="L26" s="4" t="s">
        <v>586</v>
      </c>
      <c r="O26" s="4" t="s">
        <v>587</v>
      </c>
      <c r="P26" s="4" t="s">
        <v>588</v>
      </c>
      <c r="Q26" s="4" t="s">
        <v>589</v>
      </c>
      <c r="R26" s="4" t="s">
        <v>590</v>
      </c>
      <c r="S26" s="4" t="s">
        <v>591</v>
      </c>
      <c r="V26" s="4" t="s">
        <v>470</v>
      </c>
      <c r="X26" s="4" t="s">
        <v>592</v>
      </c>
      <c r="Y26" s="4" t="s">
        <v>593</v>
      </c>
      <c r="Z26" s="4" t="s">
        <v>594</v>
      </c>
      <c r="AA26" s="4" t="s">
        <v>595</v>
      </c>
      <c r="AE26" s="4" t="s">
        <v>596</v>
      </c>
      <c r="AF26" s="4" t="s">
        <v>597</v>
      </c>
      <c r="AG26" s="4" t="s">
        <v>598</v>
      </c>
      <c r="AH26" s="4" t="s">
        <v>325</v>
      </c>
      <c r="AL26" s="346">
        <v>5</v>
      </c>
      <c r="AM26" s="342" t="s">
        <v>5</v>
      </c>
      <c r="AN26" s="346">
        <v>5107</v>
      </c>
      <c r="AO26" s="342" t="s">
        <v>282</v>
      </c>
      <c r="AP26" t="s">
        <v>599</v>
      </c>
      <c r="AQ26">
        <v>5107</v>
      </c>
      <c r="AR26" s="350">
        <v>95.09</v>
      </c>
      <c r="AS26" s="350">
        <v>99.16</v>
      </c>
      <c r="AT26" s="350">
        <v>91.94</v>
      </c>
    </row>
    <row r="27" spans="1:46">
      <c r="A27" t="s">
        <v>34</v>
      </c>
      <c r="E27" s="4" t="s">
        <v>12</v>
      </c>
      <c r="J27" s="4" t="s">
        <v>600</v>
      </c>
      <c r="K27" s="4" t="s">
        <v>601</v>
      </c>
      <c r="L27" s="4" t="s">
        <v>602</v>
      </c>
      <c r="O27" s="4" t="s">
        <v>603</v>
      </c>
      <c r="P27" s="4" t="s">
        <v>604</v>
      </c>
      <c r="Q27" s="4" t="s">
        <v>605</v>
      </c>
      <c r="R27" s="4" t="s">
        <v>606</v>
      </c>
      <c r="S27" s="4" t="s">
        <v>607</v>
      </c>
      <c r="V27" s="4" t="s">
        <v>608</v>
      </c>
      <c r="X27" s="4" t="s">
        <v>609</v>
      </c>
      <c r="Y27" s="4" t="s">
        <v>610</v>
      </c>
      <c r="Z27" s="4" t="s">
        <v>611</v>
      </c>
      <c r="AA27" s="4" t="s">
        <v>612</v>
      </c>
      <c r="AE27" s="4" t="s">
        <v>613</v>
      </c>
      <c r="AF27" s="4" t="s">
        <v>614</v>
      </c>
      <c r="AG27" s="4" t="s">
        <v>615</v>
      </c>
      <c r="AH27" s="4" t="s">
        <v>137</v>
      </c>
      <c r="AL27" s="345">
        <v>5</v>
      </c>
      <c r="AM27" s="341" t="s">
        <v>5</v>
      </c>
      <c r="AN27" s="345">
        <v>5113</v>
      </c>
      <c r="AO27" s="341" t="s">
        <v>544</v>
      </c>
      <c r="AP27" t="s">
        <v>616</v>
      </c>
      <c r="AQ27">
        <v>5113</v>
      </c>
      <c r="AR27" s="350">
        <v>98.38</v>
      </c>
      <c r="AS27" s="350">
        <v>99.21</v>
      </c>
      <c r="AT27" s="350">
        <v>98.04</v>
      </c>
    </row>
    <row r="28" spans="1:46">
      <c r="A28" t="s">
        <v>6</v>
      </c>
      <c r="E28" s="4" t="s">
        <v>617</v>
      </c>
      <c r="J28" s="4" t="s">
        <v>618</v>
      </c>
      <c r="K28" s="4" t="s">
        <v>619</v>
      </c>
      <c r="L28" s="4" t="s">
        <v>620</v>
      </c>
      <c r="O28" s="4" t="s">
        <v>621</v>
      </c>
      <c r="P28" s="4" t="s">
        <v>622</v>
      </c>
      <c r="Q28" s="4" t="s">
        <v>510</v>
      </c>
      <c r="R28" s="4" t="s">
        <v>623</v>
      </c>
      <c r="S28" s="4" t="s">
        <v>424</v>
      </c>
      <c r="V28" s="4" t="s">
        <v>624</v>
      </c>
      <c r="X28" s="4" t="s">
        <v>625</v>
      </c>
      <c r="Y28" s="4" t="s">
        <v>626</v>
      </c>
      <c r="Z28" s="4" t="s">
        <v>627</v>
      </c>
      <c r="AA28" s="4" t="s">
        <v>628</v>
      </c>
      <c r="AE28" s="4" t="s">
        <v>629</v>
      </c>
      <c r="AF28" s="4" t="s">
        <v>630</v>
      </c>
      <c r="AG28" s="4" t="s">
        <v>631</v>
      </c>
      <c r="AH28" s="4" t="s">
        <v>632</v>
      </c>
      <c r="AL28" s="346">
        <v>5</v>
      </c>
      <c r="AM28" s="342" t="s">
        <v>5</v>
      </c>
      <c r="AN28" s="346">
        <v>5120</v>
      </c>
      <c r="AO28" s="342" t="s">
        <v>562</v>
      </c>
      <c r="AP28" t="s">
        <v>633</v>
      </c>
      <c r="AQ28">
        <v>5120</v>
      </c>
      <c r="AR28" s="350">
        <v>86.95</v>
      </c>
      <c r="AS28" s="350">
        <v>95.61</v>
      </c>
      <c r="AT28" s="350">
        <v>84.82</v>
      </c>
    </row>
    <row r="29" spans="1:46">
      <c r="A29" t="s">
        <v>14</v>
      </c>
      <c r="E29" s="4" t="s">
        <v>634</v>
      </c>
      <c r="J29" s="4" t="s">
        <v>635</v>
      </c>
      <c r="K29" s="4" t="s">
        <v>636</v>
      </c>
      <c r="L29" s="4" t="s">
        <v>637</v>
      </c>
      <c r="O29" s="4" t="s">
        <v>638</v>
      </c>
      <c r="Q29" s="4" t="s">
        <v>639</v>
      </c>
      <c r="R29" s="4" t="s">
        <v>640</v>
      </c>
      <c r="S29" s="4" t="s">
        <v>641</v>
      </c>
      <c r="V29" s="4" t="s">
        <v>642</v>
      </c>
      <c r="X29" s="4" t="s">
        <v>643</v>
      </c>
      <c r="Y29" s="4" t="s">
        <v>588</v>
      </c>
      <c r="Z29" s="4" t="s">
        <v>644</v>
      </c>
      <c r="AA29" s="4" t="s">
        <v>645</v>
      </c>
      <c r="AE29" s="4" t="s">
        <v>646</v>
      </c>
      <c r="AF29" s="4" t="s">
        <v>32</v>
      </c>
      <c r="AG29" s="4" t="s">
        <v>647</v>
      </c>
      <c r="AH29" s="4" t="s">
        <v>648</v>
      </c>
      <c r="AL29" s="345">
        <v>5</v>
      </c>
      <c r="AM29" s="341" t="s">
        <v>5</v>
      </c>
      <c r="AN29" s="345">
        <v>5125</v>
      </c>
      <c r="AO29" s="341" t="s">
        <v>582</v>
      </c>
      <c r="AP29" t="s">
        <v>649</v>
      </c>
      <c r="AQ29">
        <v>5125</v>
      </c>
      <c r="AR29" s="350">
        <v>96.31</v>
      </c>
      <c r="AS29" s="350">
        <v>99.63</v>
      </c>
      <c r="AT29" s="350">
        <v>95.24</v>
      </c>
    </row>
    <row r="30" spans="1:46">
      <c r="A30" t="s">
        <v>28</v>
      </c>
      <c r="E30" s="4" t="s">
        <v>650</v>
      </c>
      <c r="J30" s="4" t="s">
        <v>651</v>
      </c>
      <c r="K30" s="4" t="s">
        <v>652</v>
      </c>
      <c r="L30" s="4" t="s">
        <v>653</v>
      </c>
      <c r="O30" s="4" t="s">
        <v>654</v>
      </c>
      <c r="Q30" s="4" t="s">
        <v>655</v>
      </c>
      <c r="R30" s="4" t="s">
        <v>656</v>
      </c>
      <c r="S30" s="4" t="s">
        <v>657</v>
      </c>
      <c r="V30" s="4" t="s">
        <v>658</v>
      </c>
      <c r="X30" s="4" t="s">
        <v>659</v>
      </c>
      <c r="Y30" s="4" t="s">
        <v>660</v>
      </c>
      <c r="Z30" s="4" t="s">
        <v>661</v>
      </c>
      <c r="AA30" s="4" t="s">
        <v>304</v>
      </c>
      <c r="AE30" s="4" t="s">
        <v>662</v>
      </c>
      <c r="AG30" s="4" t="s">
        <v>663</v>
      </c>
      <c r="AH30" s="4" t="s">
        <v>664</v>
      </c>
      <c r="AL30" s="346">
        <v>5</v>
      </c>
      <c r="AM30" s="342" t="s">
        <v>5</v>
      </c>
      <c r="AN30" s="346">
        <v>5129</v>
      </c>
      <c r="AO30" s="342" t="s">
        <v>12</v>
      </c>
      <c r="AP30" t="s">
        <v>665</v>
      </c>
      <c r="AQ30">
        <v>5129</v>
      </c>
      <c r="AR30" s="350">
        <v>99.71</v>
      </c>
      <c r="AS30" s="350">
        <v>99.82</v>
      </c>
      <c r="AT30" s="350">
        <v>99.27</v>
      </c>
    </row>
    <row r="31" spans="1:46">
      <c r="A31" t="s">
        <v>7</v>
      </c>
      <c r="E31" s="4" t="s">
        <v>666</v>
      </c>
      <c r="J31" s="4" t="s">
        <v>667</v>
      </c>
      <c r="K31" s="4" t="s">
        <v>668</v>
      </c>
      <c r="O31" s="4" t="s">
        <v>669</v>
      </c>
      <c r="Q31" s="4" t="s">
        <v>670</v>
      </c>
      <c r="R31" s="4" t="s">
        <v>671</v>
      </c>
      <c r="S31" s="4" t="s">
        <v>672</v>
      </c>
      <c r="V31" s="4" t="s">
        <v>673</v>
      </c>
      <c r="X31" s="4" t="s">
        <v>674</v>
      </c>
      <c r="Y31" s="4" t="s">
        <v>675</v>
      </c>
      <c r="Z31" s="4" t="s">
        <v>676</v>
      </c>
      <c r="AA31" s="4" t="s">
        <v>677</v>
      </c>
      <c r="AE31" s="4" t="s">
        <v>424</v>
      </c>
      <c r="AG31" s="4" t="s">
        <v>678</v>
      </c>
      <c r="AH31" s="4" t="s">
        <v>573</v>
      </c>
      <c r="AL31" s="345">
        <v>5</v>
      </c>
      <c r="AM31" s="341" t="s">
        <v>5</v>
      </c>
      <c r="AN31" s="345">
        <v>5134</v>
      </c>
      <c r="AO31" s="341" t="s">
        <v>617</v>
      </c>
      <c r="AP31" t="s">
        <v>679</v>
      </c>
      <c r="AQ31">
        <v>5134</v>
      </c>
      <c r="AR31" s="350">
        <v>94.74</v>
      </c>
      <c r="AS31" s="350">
        <v>98.99</v>
      </c>
      <c r="AT31" s="350">
        <v>92.35</v>
      </c>
    </row>
    <row r="32" spans="1:46">
      <c r="A32" t="s">
        <v>4</v>
      </c>
      <c r="E32" s="4" t="s">
        <v>680</v>
      </c>
      <c r="J32" s="4" t="s">
        <v>681</v>
      </c>
      <c r="K32" s="4" t="s">
        <v>682</v>
      </c>
      <c r="O32" s="4" t="s">
        <v>683</v>
      </c>
      <c r="Q32" s="4" t="s">
        <v>684</v>
      </c>
      <c r="R32" s="4" t="s">
        <v>685</v>
      </c>
      <c r="S32" s="4" t="s">
        <v>686</v>
      </c>
      <c r="V32" s="4" t="s">
        <v>687</v>
      </c>
      <c r="X32" s="4" t="s">
        <v>688</v>
      </c>
      <c r="Y32" s="4" t="s">
        <v>689</v>
      </c>
      <c r="Z32" s="4" t="s">
        <v>690</v>
      </c>
      <c r="AA32" s="4" t="s">
        <v>691</v>
      </c>
      <c r="AE32" s="4" t="s">
        <v>692</v>
      </c>
      <c r="AG32" s="4" t="s">
        <v>693</v>
      </c>
      <c r="AH32" s="4" t="s">
        <v>694</v>
      </c>
      <c r="AL32" s="346">
        <v>5</v>
      </c>
      <c r="AM32" s="342" t="s">
        <v>5</v>
      </c>
      <c r="AN32" s="346">
        <v>5138</v>
      </c>
      <c r="AO32" s="342" t="s">
        <v>634</v>
      </c>
      <c r="AP32" t="s">
        <v>695</v>
      </c>
      <c r="AQ32">
        <v>5138</v>
      </c>
      <c r="AR32" s="350">
        <v>97.11</v>
      </c>
      <c r="AS32" s="350">
        <v>98.9</v>
      </c>
      <c r="AT32" s="350">
        <v>96.03</v>
      </c>
    </row>
    <row r="33" spans="1:46">
      <c r="A33" t="s">
        <v>20</v>
      </c>
      <c r="E33" s="4" t="s">
        <v>696</v>
      </c>
      <c r="J33" s="4" t="s">
        <v>697</v>
      </c>
      <c r="K33" s="4" t="s">
        <v>698</v>
      </c>
      <c r="O33" s="4" t="s">
        <v>699</v>
      </c>
      <c r="Q33" s="4" t="s">
        <v>700</v>
      </c>
      <c r="R33" s="4" t="s">
        <v>701</v>
      </c>
      <c r="S33" s="4" t="s">
        <v>702</v>
      </c>
      <c r="V33" s="4" t="s">
        <v>703</v>
      </c>
      <c r="X33" s="4" t="s">
        <v>704</v>
      </c>
      <c r="Z33" s="4" t="s">
        <v>705</v>
      </c>
      <c r="AA33" s="4" t="s">
        <v>706</v>
      </c>
      <c r="AE33" s="4" t="s">
        <v>707</v>
      </c>
      <c r="AG33" s="4" t="s">
        <v>708</v>
      </c>
      <c r="AH33" s="4" t="s">
        <v>709</v>
      </c>
      <c r="AL33" s="345">
        <v>5</v>
      </c>
      <c r="AM33" s="341" t="s">
        <v>5</v>
      </c>
      <c r="AN33" s="345">
        <v>5142</v>
      </c>
      <c r="AO33" s="341" t="s">
        <v>650</v>
      </c>
      <c r="AP33" t="s">
        <v>710</v>
      </c>
      <c r="AQ33">
        <v>5142</v>
      </c>
      <c r="AR33" s="350">
        <v>98.04</v>
      </c>
      <c r="AS33" s="350">
        <v>99.58</v>
      </c>
      <c r="AT33" s="350">
        <v>95.37</v>
      </c>
    </row>
    <row r="34" spans="1:46">
      <c r="A34" t="s">
        <v>21</v>
      </c>
      <c r="E34" s="4" t="s">
        <v>711</v>
      </c>
      <c r="J34" s="4" t="s">
        <v>712</v>
      </c>
      <c r="K34" s="4" t="s">
        <v>713</v>
      </c>
      <c r="O34" s="4" t="s">
        <v>714</v>
      </c>
      <c r="S34" s="4" t="s">
        <v>715</v>
      </c>
      <c r="V34" s="4" t="s">
        <v>716</v>
      </c>
      <c r="Z34" s="4" t="s">
        <v>717</v>
      </c>
      <c r="AA34" s="4" t="s">
        <v>718</v>
      </c>
      <c r="AE34" s="4" t="s">
        <v>719</v>
      </c>
      <c r="AG34" s="4" t="s">
        <v>720</v>
      </c>
      <c r="AH34" s="4" t="s">
        <v>597</v>
      </c>
      <c r="AL34" s="346">
        <v>5</v>
      </c>
      <c r="AM34" s="342" t="s">
        <v>5</v>
      </c>
      <c r="AN34" s="346">
        <v>5145</v>
      </c>
      <c r="AO34" s="342" t="s">
        <v>666</v>
      </c>
      <c r="AP34" t="s">
        <v>721</v>
      </c>
      <c r="AQ34">
        <v>5145</v>
      </c>
      <c r="AR34" s="350">
        <v>98.94</v>
      </c>
      <c r="AS34" s="350">
        <v>99.86</v>
      </c>
      <c r="AT34" s="350">
        <v>98.06</v>
      </c>
    </row>
    <row r="35" spans="1:46">
      <c r="A35" t="s">
        <v>35</v>
      </c>
      <c r="E35" s="4" t="s">
        <v>722</v>
      </c>
      <c r="J35" s="4" t="s">
        <v>723</v>
      </c>
      <c r="K35" s="4" t="s">
        <v>724</v>
      </c>
      <c r="O35" s="4" t="s">
        <v>725</v>
      </c>
      <c r="S35" s="4" t="s">
        <v>726</v>
      </c>
      <c r="V35" s="4" t="s">
        <v>727</v>
      </c>
      <c r="Z35" s="4" t="s">
        <v>728</v>
      </c>
      <c r="AA35" s="4" t="s">
        <v>729</v>
      </c>
      <c r="AE35" s="4" t="s">
        <v>730</v>
      </c>
      <c r="AG35" s="4" t="s">
        <v>731</v>
      </c>
      <c r="AH35" s="4" t="s">
        <v>732</v>
      </c>
      <c r="AL35" s="345">
        <v>5</v>
      </c>
      <c r="AM35" s="341" t="s">
        <v>5</v>
      </c>
      <c r="AN35" s="345">
        <v>5147</v>
      </c>
      <c r="AO35" s="341" t="s">
        <v>680</v>
      </c>
      <c r="AP35" t="s">
        <v>733</v>
      </c>
      <c r="AQ35">
        <v>5147</v>
      </c>
      <c r="AR35" s="350">
        <v>97.82</v>
      </c>
      <c r="AS35" s="350">
        <v>98.15</v>
      </c>
      <c r="AT35" s="350">
        <v>96.98</v>
      </c>
    </row>
    <row r="36" spans="1:46">
      <c r="A36" t="s">
        <v>36</v>
      </c>
      <c r="E36" s="4" t="s">
        <v>734</v>
      </c>
      <c r="J36" s="4" t="s">
        <v>735</v>
      </c>
      <c r="K36" s="4" t="s">
        <v>736</v>
      </c>
      <c r="O36" s="4" t="s">
        <v>737</v>
      </c>
      <c r="S36" s="4" t="s">
        <v>738</v>
      </c>
      <c r="V36" s="4" t="s">
        <v>739</v>
      </c>
      <c r="Z36" s="4" t="s">
        <v>325</v>
      </c>
      <c r="AA36" s="4" t="s">
        <v>322</v>
      </c>
      <c r="AE36" s="4" t="s">
        <v>740</v>
      </c>
      <c r="AG36" s="4" t="s">
        <v>741</v>
      </c>
      <c r="AH36" s="4" t="s">
        <v>742</v>
      </c>
      <c r="AL36" s="346">
        <v>5</v>
      </c>
      <c r="AM36" s="342" t="s">
        <v>5</v>
      </c>
      <c r="AN36" s="346">
        <v>5148</v>
      </c>
      <c r="AO36" s="342" t="s">
        <v>743</v>
      </c>
      <c r="AP36" t="s">
        <v>744</v>
      </c>
      <c r="AQ36">
        <v>5148</v>
      </c>
      <c r="AR36" s="350">
        <v>99.59</v>
      </c>
      <c r="AS36" s="350">
        <v>99.95</v>
      </c>
      <c r="AT36" s="350">
        <v>99</v>
      </c>
    </row>
    <row r="37" spans="1:46">
      <c r="E37" s="4" t="s">
        <v>580</v>
      </c>
      <c r="J37" s="4" t="s">
        <v>745</v>
      </c>
      <c r="K37" s="4" t="s">
        <v>746</v>
      </c>
      <c r="O37" s="4" t="s">
        <v>747</v>
      </c>
      <c r="S37" s="4" t="s">
        <v>748</v>
      </c>
      <c r="V37" s="4" t="s">
        <v>749</v>
      </c>
      <c r="Z37" s="4" t="s">
        <v>750</v>
      </c>
      <c r="AA37" s="4" t="s">
        <v>751</v>
      </c>
      <c r="AE37" s="4" t="s">
        <v>752</v>
      </c>
      <c r="AG37" s="4" t="s">
        <v>753</v>
      </c>
      <c r="AH37" s="4" t="s">
        <v>754</v>
      </c>
      <c r="AL37" s="345">
        <v>5</v>
      </c>
      <c r="AM37" s="341" t="s">
        <v>5</v>
      </c>
      <c r="AN37" s="345">
        <v>5150</v>
      </c>
      <c r="AO37" s="341" t="s">
        <v>696</v>
      </c>
      <c r="AP37" t="s">
        <v>755</v>
      </c>
      <c r="AQ37">
        <v>5150</v>
      </c>
      <c r="AR37" s="350">
        <v>99.36</v>
      </c>
      <c r="AS37" s="350">
        <v>99.6</v>
      </c>
      <c r="AT37" s="350">
        <v>98.46</v>
      </c>
    </row>
    <row r="38" spans="1:46">
      <c r="E38" s="4" t="s">
        <v>756</v>
      </c>
      <c r="J38" s="4" t="s">
        <v>757</v>
      </c>
      <c r="K38" s="4" t="s">
        <v>758</v>
      </c>
      <c r="O38" s="4" t="s">
        <v>759</v>
      </c>
      <c r="S38" s="4" t="s">
        <v>760</v>
      </c>
      <c r="V38" s="4" t="s">
        <v>761</v>
      </c>
      <c r="Z38" s="4" t="s">
        <v>762</v>
      </c>
      <c r="AA38" s="4" t="s">
        <v>763</v>
      </c>
      <c r="AE38" s="4" t="s">
        <v>764</v>
      </c>
      <c r="AG38" s="4" t="s">
        <v>765</v>
      </c>
      <c r="AH38" s="4" t="s">
        <v>766</v>
      </c>
      <c r="AL38" s="346">
        <v>5</v>
      </c>
      <c r="AM38" s="342" t="s">
        <v>5</v>
      </c>
      <c r="AN38" s="346">
        <v>5154</v>
      </c>
      <c r="AO38" s="342" t="s">
        <v>711</v>
      </c>
      <c r="AP38" t="s">
        <v>767</v>
      </c>
      <c r="AQ38">
        <v>5154</v>
      </c>
      <c r="AR38" s="350">
        <v>99.01</v>
      </c>
      <c r="AS38" s="350">
        <v>99.54</v>
      </c>
      <c r="AT38" s="350">
        <v>95.21</v>
      </c>
    </row>
    <row r="39" spans="1:46">
      <c r="E39" s="4" t="s">
        <v>557</v>
      </c>
      <c r="J39" s="4" t="s">
        <v>768</v>
      </c>
      <c r="K39" s="4" t="s">
        <v>769</v>
      </c>
      <c r="O39" s="4" t="s">
        <v>770</v>
      </c>
      <c r="S39" s="4" t="s">
        <v>771</v>
      </c>
      <c r="V39" s="4" t="s">
        <v>772</v>
      </c>
      <c r="Z39" s="4" t="s">
        <v>773</v>
      </c>
      <c r="AA39" s="4" t="s">
        <v>774</v>
      </c>
      <c r="AE39" s="4" t="s">
        <v>775</v>
      </c>
      <c r="AG39" s="4" t="s">
        <v>776</v>
      </c>
      <c r="AH39" s="4" t="s">
        <v>777</v>
      </c>
      <c r="AL39" s="345">
        <v>5</v>
      </c>
      <c r="AM39" s="341" t="s">
        <v>5</v>
      </c>
      <c r="AN39" s="345">
        <v>5172</v>
      </c>
      <c r="AO39" s="341" t="s">
        <v>722</v>
      </c>
      <c r="AP39" t="s">
        <v>778</v>
      </c>
      <c r="AQ39">
        <v>5172</v>
      </c>
      <c r="AR39" s="350">
        <v>98.1</v>
      </c>
      <c r="AS39" s="350">
        <v>99.12</v>
      </c>
      <c r="AT39" s="350">
        <v>92.31</v>
      </c>
    </row>
    <row r="40" spans="1:46">
      <c r="E40" s="4" t="s">
        <v>240</v>
      </c>
      <c r="J40" s="4" t="s">
        <v>725</v>
      </c>
      <c r="K40" s="4" t="s">
        <v>779</v>
      </c>
      <c r="O40" s="4" t="s">
        <v>32</v>
      </c>
      <c r="S40" s="4" t="s">
        <v>780</v>
      </c>
      <c r="V40" s="4" t="s">
        <v>781</v>
      </c>
      <c r="Z40" s="4" t="s">
        <v>782</v>
      </c>
      <c r="AA40" s="4" t="s">
        <v>783</v>
      </c>
      <c r="AE40" s="4" t="s">
        <v>784</v>
      </c>
      <c r="AG40" s="4" t="s">
        <v>785</v>
      </c>
      <c r="AH40" s="4" t="s">
        <v>786</v>
      </c>
      <c r="AL40" s="346">
        <v>5</v>
      </c>
      <c r="AM40" s="342" t="s">
        <v>5</v>
      </c>
      <c r="AN40" s="346">
        <v>5190</v>
      </c>
      <c r="AO40" s="342" t="s">
        <v>734</v>
      </c>
      <c r="AP40" t="s">
        <v>787</v>
      </c>
      <c r="AQ40">
        <v>5190</v>
      </c>
      <c r="AR40" s="350">
        <v>99.52</v>
      </c>
      <c r="AS40" s="350">
        <v>99.55</v>
      </c>
      <c r="AT40" s="350">
        <v>99.24</v>
      </c>
    </row>
    <row r="41" spans="1:46">
      <c r="E41" s="4" t="s">
        <v>788</v>
      </c>
      <c r="J41" s="4" t="s">
        <v>789</v>
      </c>
      <c r="K41" s="4" t="s">
        <v>790</v>
      </c>
      <c r="O41" s="4" t="s">
        <v>791</v>
      </c>
      <c r="S41" s="4" t="s">
        <v>343</v>
      </c>
      <c r="Z41" s="4" t="s">
        <v>792</v>
      </c>
      <c r="AA41" s="4" t="s">
        <v>793</v>
      </c>
      <c r="AE41" s="4" t="s">
        <v>365</v>
      </c>
      <c r="AG41" s="4" t="s">
        <v>794</v>
      </c>
      <c r="AH41" s="4" t="s">
        <v>795</v>
      </c>
      <c r="AL41" s="345">
        <v>5</v>
      </c>
      <c r="AM41" s="341" t="s">
        <v>5</v>
      </c>
      <c r="AN41" s="345">
        <v>5197</v>
      </c>
      <c r="AO41" s="341" t="s">
        <v>756</v>
      </c>
      <c r="AP41" t="s">
        <v>796</v>
      </c>
      <c r="AQ41">
        <v>5197</v>
      </c>
      <c r="AR41" s="350">
        <v>97.61</v>
      </c>
      <c r="AS41" s="350">
        <v>99.4</v>
      </c>
      <c r="AT41" s="350">
        <v>96.31</v>
      </c>
    </row>
    <row r="42" spans="1:46">
      <c r="E42" s="4" t="s">
        <v>797</v>
      </c>
      <c r="J42" s="4" t="s">
        <v>798</v>
      </c>
      <c r="K42" s="4" t="s">
        <v>799</v>
      </c>
      <c r="O42" s="4" t="s">
        <v>800</v>
      </c>
      <c r="S42" s="4" t="s">
        <v>801</v>
      </c>
      <c r="Z42" s="4" t="s">
        <v>802</v>
      </c>
      <c r="AA42" s="4" t="s">
        <v>803</v>
      </c>
      <c r="AE42" s="4" t="s">
        <v>804</v>
      </c>
      <c r="AG42" s="4" t="s">
        <v>805</v>
      </c>
      <c r="AH42" s="4" t="s">
        <v>806</v>
      </c>
      <c r="AL42" s="346">
        <v>5</v>
      </c>
      <c r="AM42" s="342" t="s">
        <v>5</v>
      </c>
      <c r="AN42" s="346">
        <v>5206</v>
      </c>
      <c r="AO42" s="342" t="s">
        <v>557</v>
      </c>
      <c r="AP42" t="s">
        <v>807</v>
      </c>
      <c r="AQ42">
        <v>5206</v>
      </c>
      <c r="AR42" s="350">
        <v>99.06</v>
      </c>
      <c r="AS42" s="350">
        <v>99.69</v>
      </c>
      <c r="AT42" s="350">
        <v>98.49</v>
      </c>
    </row>
    <row r="43" spans="1:46">
      <c r="E43" s="4" t="s">
        <v>808</v>
      </c>
      <c r="J43" s="4" t="s">
        <v>809</v>
      </c>
      <c r="K43" s="4" t="s">
        <v>810</v>
      </c>
      <c r="O43" s="4" t="s">
        <v>811</v>
      </c>
      <c r="S43" s="4" t="s">
        <v>812</v>
      </c>
      <c r="Z43" s="4" t="s">
        <v>26</v>
      </c>
      <c r="AA43" s="4" t="s">
        <v>813</v>
      </c>
      <c r="AE43" s="4" t="s">
        <v>814</v>
      </c>
      <c r="AG43" s="4" t="s">
        <v>815</v>
      </c>
      <c r="AH43" s="4" t="s">
        <v>816</v>
      </c>
      <c r="AL43" s="345">
        <v>5</v>
      </c>
      <c r="AM43" s="341" t="s">
        <v>5</v>
      </c>
      <c r="AN43" s="345">
        <v>5209</v>
      </c>
      <c r="AO43" s="341" t="s">
        <v>240</v>
      </c>
      <c r="AP43" t="s">
        <v>817</v>
      </c>
      <c r="AQ43">
        <v>5209</v>
      </c>
      <c r="AR43" s="350">
        <v>99.35</v>
      </c>
      <c r="AS43" s="350">
        <v>99.27</v>
      </c>
      <c r="AT43" s="350">
        <v>99.43</v>
      </c>
    </row>
    <row r="44" spans="1:46">
      <c r="E44" s="4" t="s">
        <v>818</v>
      </c>
      <c r="J44" s="4" t="s">
        <v>819</v>
      </c>
      <c r="K44" s="4" t="s">
        <v>820</v>
      </c>
      <c r="O44" s="4" t="s">
        <v>821</v>
      </c>
      <c r="S44" s="4" t="s">
        <v>822</v>
      </c>
      <c r="Z44" s="4" t="s">
        <v>823</v>
      </c>
      <c r="AE44" s="4" t="s">
        <v>824</v>
      </c>
      <c r="AG44" s="4" t="s">
        <v>825</v>
      </c>
      <c r="AH44" s="4" t="s">
        <v>826</v>
      </c>
      <c r="AL44" s="346">
        <v>5</v>
      </c>
      <c r="AM44" s="342" t="s">
        <v>5</v>
      </c>
      <c r="AN44" s="346">
        <v>5212</v>
      </c>
      <c r="AO44" s="342" t="s">
        <v>788</v>
      </c>
      <c r="AP44" t="s">
        <v>827</v>
      </c>
      <c r="AQ44">
        <v>5212</v>
      </c>
      <c r="AR44" s="350">
        <v>99.62</v>
      </c>
      <c r="AS44" s="350">
        <v>99.85</v>
      </c>
      <c r="AT44" s="350">
        <v>98.64</v>
      </c>
    </row>
    <row r="45" spans="1:46">
      <c r="E45" s="4" t="s">
        <v>828</v>
      </c>
      <c r="J45" s="4" t="s">
        <v>829</v>
      </c>
      <c r="K45" s="4" t="s">
        <v>830</v>
      </c>
      <c r="O45" s="4" t="s">
        <v>831</v>
      </c>
      <c r="S45" s="4" t="s">
        <v>832</v>
      </c>
      <c r="Z45" s="4" t="s">
        <v>833</v>
      </c>
      <c r="AE45" s="4" t="s">
        <v>834</v>
      </c>
      <c r="AG45" s="4" t="s">
        <v>835</v>
      </c>
      <c r="AH45" s="4" t="s">
        <v>836</v>
      </c>
      <c r="AL45" s="345">
        <v>5</v>
      </c>
      <c r="AM45" s="341" t="s">
        <v>5</v>
      </c>
      <c r="AN45" s="345">
        <v>5234</v>
      </c>
      <c r="AO45" s="341" t="s">
        <v>797</v>
      </c>
      <c r="AP45" t="s">
        <v>837</v>
      </c>
      <c r="AQ45">
        <v>5234</v>
      </c>
      <c r="AR45" s="350">
        <v>85.05</v>
      </c>
      <c r="AS45" s="350">
        <v>94.75</v>
      </c>
      <c r="AT45" s="350">
        <v>77.510000000000005</v>
      </c>
    </row>
    <row r="46" spans="1:46">
      <c r="E46" s="4" t="s">
        <v>743</v>
      </c>
      <c r="J46" s="4" t="s">
        <v>838</v>
      </c>
      <c r="K46" s="4" t="s">
        <v>839</v>
      </c>
      <c r="S46" s="4" t="s">
        <v>840</v>
      </c>
      <c r="Z46" s="4" t="s">
        <v>841</v>
      </c>
      <c r="AE46" s="4" t="s">
        <v>842</v>
      </c>
      <c r="AG46" s="4" t="s">
        <v>770</v>
      </c>
      <c r="AL46" s="346">
        <v>5</v>
      </c>
      <c r="AM46" s="342" t="s">
        <v>5</v>
      </c>
      <c r="AN46" s="346">
        <v>5237</v>
      </c>
      <c r="AO46" s="342" t="s">
        <v>808</v>
      </c>
      <c r="AP46" t="s">
        <v>843</v>
      </c>
      <c r="AQ46">
        <v>5237</v>
      </c>
      <c r="AR46" s="350">
        <v>99.87</v>
      </c>
      <c r="AS46" s="350">
        <v>99.97</v>
      </c>
      <c r="AT46" s="350">
        <v>99.5</v>
      </c>
    </row>
    <row r="47" spans="1:46">
      <c r="E47" s="4" t="s">
        <v>844</v>
      </c>
      <c r="J47" s="4" t="s">
        <v>845</v>
      </c>
      <c r="K47" s="4" t="s">
        <v>846</v>
      </c>
      <c r="S47" s="4" t="s">
        <v>847</v>
      </c>
      <c r="Z47" s="4" t="s">
        <v>848</v>
      </c>
      <c r="AE47" s="4" t="s">
        <v>849</v>
      </c>
      <c r="AG47" s="4" t="s">
        <v>850</v>
      </c>
      <c r="AL47" s="345">
        <v>5</v>
      </c>
      <c r="AM47" s="341" t="s">
        <v>5</v>
      </c>
      <c r="AN47" s="345">
        <v>5240</v>
      </c>
      <c r="AO47" s="341" t="s">
        <v>818</v>
      </c>
      <c r="AP47" t="s">
        <v>851</v>
      </c>
      <c r="AQ47">
        <v>5240</v>
      </c>
      <c r="AR47" s="350">
        <v>97.87</v>
      </c>
      <c r="AS47" s="350">
        <v>98.91</v>
      </c>
      <c r="AT47" s="350">
        <v>97.63</v>
      </c>
    </row>
    <row r="48" spans="1:46">
      <c r="E48" s="4" t="s">
        <v>852</v>
      </c>
      <c r="J48" s="4" t="s">
        <v>435</v>
      </c>
      <c r="K48" s="4" t="s">
        <v>853</v>
      </c>
      <c r="S48" s="4" t="s">
        <v>854</v>
      </c>
      <c r="Z48" s="4" t="s">
        <v>855</v>
      </c>
      <c r="AE48" s="4" t="s">
        <v>856</v>
      </c>
      <c r="AG48" s="4" t="s">
        <v>857</v>
      </c>
      <c r="AL48" s="346">
        <v>5</v>
      </c>
      <c r="AM48" s="342" t="s">
        <v>5</v>
      </c>
      <c r="AN48" s="346">
        <v>5250</v>
      </c>
      <c r="AO48" s="342" t="s">
        <v>828</v>
      </c>
      <c r="AP48" t="s">
        <v>858</v>
      </c>
      <c r="AQ48">
        <v>5250</v>
      </c>
      <c r="AR48" s="350">
        <v>95.29</v>
      </c>
      <c r="AS48" s="350">
        <v>97.34</v>
      </c>
      <c r="AT48" s="350">
        <v>91.83</v>
      </c>
    </row>
    <row r="49" spans="5:46">
      <c r="E49" s="4" t="s">
        <v>859</v>
      </c>
      <c r="J49" s="4" t="s">
        <v>860</v>
      </c>
      <c r="K49" s="4" t="s">
        <v>861</v>
      </c>
      <c r="S49" s="4" t="s">
        <v>862</v>
      </c>
      <c r="Z49" s="4" t="s">
        <v>46</v>
      </c>
      <c r="AE49" s="4" t="s">
        <v>430</v>
      </c>
      <c r="AG49" s="4" t="s">
        <v>863</v>
      </c>
      <c r="AL49" s="345">
        <v>5</v>
      </c>
      <c r="AM49" s="341" t="s">
        <v>5</v>
      </c>
      <c r="AN49" s="345">
        <v>5264</v>
      </c>
      <c r="AO49" s="341" t="s">
        <v>852</v>
      </c>
      <c r="AP49" t="s">
        <v>864</v>
      </c>
      <c r="AQ49">
        <v>5264</v>
      </c>
      <c r="AR49" s="350">
        <v>99.78</v>
      </c>
      <c r="AS49" s="350">
        <v>100</v>
      </c>
      <c r="AT49" s="350">
        <v>99.45</v>
      </c>
    </row>
    <row r="50" spans="5:46">
      <c r="E50" s="4" t="s">
        <v>865</v>
      </c>
      <c r="K50" s="4" t="s">
        <v>866</v>
      </c>
      <c r="S50" s="4" t="s">
        <v>867</v>
      </c>
      <c r="Z50" s="4" t="s">
        <v>868</v>
      </c>
      <c r="AE50" s="4" t="s">
        <v>869</v>
      </c>
      <c r="AG50" s="4" t="s">
        <v>870</v>
      </c>
      <c r="AL50" s="346">
        <v>5</v>
      </c>
      <c r="AM50" s="342" t="s">
        <v>5</v>
      </c>
      <c r="AN50" s="346">
        <v>5266</v>
      </c>
      <c r="AO50" s="342" t="s">
        <v>859</v>
      </c>
      <c r="AP50" t="s">
        <v>871</v>
      </c>
      <c r="AQ50">
        <v>5266</v>
      </c>
      <c r="AR50" s="350">
        <v>99.85</v>
      </c>
      <c r="AS50" s="350">
        <v>99.88</v>
      </c>
      <c r="AT50" s="350">
        <v>99.28</v>
      </c>
    </row>
    <row r="51" spans="5:46">
      <c r="E51" s="4" t="s">
        <v>872</v>
      </c>
      <c r="K51" s="4" t="s">
        <v>137</v>
      </c>
      <c r="S51" s="4" t="s">
        <v>873</v>
      </c>
      <c r="Z51" s="4" t="s">
        <v>874</v>
      </c>
      <c r="AE51" s="4" t="s">
        <v>875</v>
      </c>
      <c r="AL51" s="345">
        <v>5</v>
      </c>
      <c r="AM51" s="341" t="s">
        <v>5</v>
      </c>
      <c r="AN51" s="345">
        <v>5282</v>
      </c>
      <c r="AO51" s="341" t="s">
        <v>865</v>
      </c>
      <c r="AP51" t="s">
        <v>876</v>
      </c>
      <c r="AQ51">
        <v>5282</v>
      </c>
      <c r="AR51" s="350">
        <v>99.04</v>
      </c>
      <c r="AS51" s="350">
        <v>99.11</v>
      </c>
      <c r="AT51" s="350">
        <v>99</v>
      </c>
    </row>
    <row r="52" spans="5:46">
      <c r="E52" s="4" t="s">
        <v>877</v>
      </c>
      <c r="K52" s="4" t="s">
        <v>878</v>
      </c>
      <c r="S52" s="4" t="s">
        <v>879</v>
      </c>
      <c r="Z52" s="4" t="s">
        <v>880</v>
      </c>
      <c r="AE52" s="4" t="s">
        <v>881</v>
      </c>
      <c r="AL52" s="346">
        <v>5</v>
      </c>
      <c r="AM52" s="342" t="s">
        <v>5</v>
      </c>
      <c r="AN52" s="346">
        <v>5284</v>
      </c>
      <c r="AO52" s="342" t="s">
        <v>872</v>
      </c>
      <c r="AP52" t="s">
        <v>882</v>
      </c>
      <c r="AQ52">
        <v>5284</v>
      </c>
      <c r="AR52" s="350">
        <v>87.3</v>
      </c>
      <c r="AS52" s="350">
        <v>98.94</v>
      </c>
      <c r="AT52" s="350">
        <v>77.22</v>
      </c>
    </row>
    <row r="53" spans="5:46">
      <c r="E53" s="4" t="s">
        <v>883</v>
      </c>
      <c r="K53" s="4" t="s">
        <v>884</v>
      </c>
      <c r="S53" s="4" t="s">
        <v>885</v>
      </c>
      <c r="Z53" s="4" t="s">
        <v>886</v>
      </c>
      <c r="AE53" s="4" t="s">
        <v>887</v>
      </c>
      <c r="AL53" s="345">
        <v>5</v>
      </c>
      <c r="AM53" s="341" t="s">
        <v>5</v>
      </c>
      <c r="AN53" s="345">
        <v>5306</v>
      </c>
      <c r="AO53" s="341" t="s">
        <v>877</v>
      </c>
      <c r="AP53" t="s">
        <v>888</v>
      </c>
      <c r="AQ53">
        <v>5306</v>
      </c>
      <c r="AR53" s="350">
        <v>98.84</v>
      </c>
      <c r="AS53" s="350">
        <v>98.63</v>
      </c>
      <c r="AT53" s="350">
        <v>98.97</v>
      </c>
    </row>
    <row r="54" spans="5:46">
      <c r="E54" s="4" t="s">
        <v>889</v>
      </c>
      <c r="K54" s="4" t="s">
        <v>890</v>
      </c>
      <c r="S54" s="4" t="s">
        <v>891</v>
      </c>
      <c r="Z54" s="4" t="s">
        <v>892</v>
      </c>
      <c r="AE54" s="4" t="s">
        <v>893</v>
      </c>
      <c r="AL54" s="346">
        <v>5</v>
      </c>
      <c r="AM54" s="342" t="s">
        <v>5</v>
      </c>
      <c r="AN54" s="346">
        <v>5308</v>
      </c>
      <c r="AO54" s="342" t="s">
        <v>883</v>
      </c>
      <c r="AP54" t="s">
        <v>894</v>
      </c>
      <c r="AQ54">
        <v>5308</v>
      </c>
      <c r="AR54" s="350">
        <v>99.74</v>
      </c>
      <c r="AS54" s="350">
        <v>99.88</v>
      </c>
      <c r="AT54" s="350">
        <v>99.55</v>
      </c>
    </row>
    <row r="55" spans="5:46">
      <c r="E55" s="4" t="s">
        <v>343</v>
      </c>
      <c r="K55" s="4" t="s">
        <v>120</v>
      </c>
      <c r="S55" s="4" t="s">
        <v>895</v>
      </c>
      <c r="Z55" s="4" t="s">
        <v>896</v>
      </c>
      <c r="AE55" s="4" t="s">
        <v>897</v>
      </c>
      <c r="AL55" s="345">
        <v>5</v>
      </c>
      <c r="AM55" s="341" t="s">
        <v>5</v>
      </c>
      <c r="AN55" s="345">
        <v>5310</v>
      </c>
      <c r="AO55" s="341" t="s">
        <v>889</v>
      </c>
      <c r="AP55" t="s">
        <v>898</v>
      </c>
      <c r="AQ55">
        <v>5310</v>
      </c>
      <c r="AR55" s="350">
        <v>98.42</v>
      </c>
      <c r="AS55" s="350">
        <v>99.31</v>
      </c>
      <c r="AT55" s="350">
        <v>97.38</v>
      </c>
    </row>
    <row r="56" spans="5:46">
      <c r="E56" s="4" t="s">
        <v>365</v>
      </c>
      <c r="K56" s="4" t="s">
        <v>899</v>
      </c>
      <c r="S56" s="4" t="s">
        <v>472</v>
      </c>
      <c r="Z56" s="4" t="s">
        <v>900</v>
      </c>
      <c r="AE56" s="4" t="s">
        <v>901</v>
      </c>
      <c r="AL56" s="346">
        <v>5</v>
      </c>
      <c r="AM56" s="342" t="s">
        <v>5</v>
      </c>
      <c r="AN56" s="346">
        <v>5313</v>
      </c>
      <c r="AO56" s="342" t="s">
        <v>343</v>
      </c>
      <c r="AP56" t="s">
        <v>902</v>
      </c>
      <c r="AQ56">
        <v>5313</v>
      </c>
      <c r="AR56" s="350">
        <v>98.14</v>
      </c>
      <c r="AS56" s="350">
        <v>97.73</v>
      </c>
      <c r="AT56" s="350">
        <v>98.72</v>
      </c>
    </row>
    <row r="57" spans="5:46">
      <c r="E57" s="4" t="s">
        <v>903</v>
      </c>
      <c r="K57" s="4" t="s">
        <v>904</v>
      </c>
      <c r="S57" s="4" t="s">
        <v>905</v>
      </c>
      <c r="Z57" s="4" t="s">
        <v>906</v>
      </c>
      <c r="AE57" s="4" t="s">
        <v>907</v>
      </c>
      <c r="AL57" s="345">
        <v>5</v>
      </c>
      <c r="AM57" s="341" t="s">
        <v>5</v>
      </c>
      <c r="AN57" s="345">
        <v>5315</v>
      </c>
      <c r="AO57" s="341" t="s">
        <v>365</v>
      </c>
      <c r="AP57" t="s">
        <v>908</v>
      </c>
      <c r="AQ57">
        <v>5315</v>
      </c>
      <c r="AR57" s="350">
        <v>97.76</v>
      </c>
      <c r="AS57" s="350">
        <v>99.44</v>
      </c>
      <c r="AT57" s="350">
        <v>96.59</v>
      </c>
    </row>
    <row r="58" spans="5:46">
      <c r="E58" s="4" t="s">
        <v>909</v>
      </c>
      <c r="K58" s="4" t="s">
        <v>910</v>
      </c>
      <c r="S58" s="4" t="s">
        <v>911</v>
      </c>
      <c r="Z58" s="4" t="s">
        <v>745</v>
      </c>
      <c r="AE58" s="4" t="s">
        <v>912</v>
      </c>
      <c r="AL58" s="346">
        <v>5</v>
      </c>
      <c r="AM58" s="342" t="s">
        <v>5</v>
      </c>
      <c r="AN58" s="346">
        <v>5318</v>
      </c>
      <c r="AO58" s="342" t="s">
        <v>903</v>
      </c>
      <c r="AP58" t="s">
        <v>913</v>
      </c>
      <c r="AQ58">
        <v>5318</v>
      </c>
      <c r="AR58" s="350">
        <v>99.13</v>
      </c>
      <c r="AS58" s="350">
        <v>99.74</v>
      </c>
      <c r="AT58" s="350">
        <v>98.69</v>
      </c>
    </row>
    <row r="59" spans="5:46">
      <c r="E59" s="4" t="s">
        <v>914</v>
      </c>
      <c r="K59" s="4" t="s">
        <v>915</v>
      </c>
      <c r="S59" s="4" t="s">
        <v>916</v>
      </c>
      <c r="Z59" s="4" t="s">
        <v>917</v>
      </c>
      <c r="AE59" s="4" t="s">
        <v>918</v>
      </c>
      <c r="AL59" s="345">
        <v>5</v>
      </c>
      <c r="AM59" s="341" t="s">
        <v>5</v>
      </c>
      <c r="AN59" s="345">
        <v>5321</v>
      </c>
      <c r="AO59" s="341" t="s">
        <v>909</v>
      </c>
      <c r="AP59" t="s">
        <v>919</v>
      </c>
      <c r="AQ59">
        <v>5321</v>
      </c>
      <c r="AR59" s="350">
        <v>99.38</v>
      </c>
      <c r="AS59" s="350">
        <v>99.94</v>
      </c>
      <c r="AT59" s="350">
        <v>97.87</v>
      </c>
    </row>
    <row r="60" spans="5:46">
      <c r="E60" s="4" t="s">
        <v>920</v>
      </c>
      <c r="K60" s="4" t="s">
        <v>921</v>
      </c>
      <c r="S60" s="4" t="s">
        <v>922</v>
      </c>
      <c r="Z60" s="4" t="s">
        <v>923</v>
      </c>
      <c r="AE60" s="4" t="s">
        <v>924</v>
      </c>
      <c r="AL60" s="346">
        <v>5</v>
      </c>
      <c r="AM60" s="342" t="s">
        <v>5</v>
      </c>
      <c r="AN60" s="346">
        <v>5347</v>
      </c>
      <c r="AO60" s="342" t="s">
        <v>914</v>
      </c>
      <c r="AP60" t="s">
        <v>925</v>
      </c>
      <c r="AQ60">
        <v>5347</v>
      </c>
      <c r="AR60" s="350">
        <v>98.49</v>
      </c>
      <c r="AS60" s="350">
        <v>99.21</v>
      </c>
      <c r="AT60" s="350">
        <v>97.9</v>
      </c>
    </row>
    <row r="61" spans="5:46">
      <c r="E61" s="4" t="s">
        <v>926</v>
      </c>
      <c r="K61" s="4" t="s">
        <v>927</v>
      </c>
      <c r="S61" s="4" t="s">
        <v>928</v>
      </c>
      <c r="Z61" s="4" t="s">
        <v>929</v>
      </c>
      <c r="AE61" s="4" t="s">
        <v>930</v>
      </c>
      <c r="AL61" s="345">
        <v>5</v>
      </c>
      <c r="AM61" s="341" t="s">
        <v>5</v>
      </c>
      <c r="AN61" s="345">
        <v>5353</v>
      </c>
      <c r="AO61" s="341" t="s">
        <v>920</v>
      </c>
      <c r="AP61" t="s">
        <v>931</v>
      </c>
      <c r="AQ61">
        <v>5353</v>
      </c>
      <c r="AR61" s="350">
        <v>99.41</v>
      </c>
      <c r="AS61" s="350">
        <v>99.5</v>
      </c>
      <c r="AT61" s="350">
        <v>99.19</v>
      </c>
    </row>
    <row r="62" spans="5:46">
      <c r="E62" s="4" t="s">
        <v>932</v>
      </c>
      <c r="K62" s="4" t="s">
        <v>933</v>
      </c>
      <c r="S62" s="4" t="s">
        <v>802</v>
      </c>
      <c r="Z62" s="4" t="s">
        <v>934</v>
      </c>
      <c r="AE62" s="4" t="s">
        <v>935</v>
      </c>
      <c r="AL62" s="346">
        <v>5</v>
      </c>
      <c r="AM62" s="342" t="s">
        <v>5</v>
      </c>
      <c r="AN62" s="346">
        <v>5360</v>
      </c>
      <c r="AO62" s="342" t="s">
        <v>926</v>
      </c>
      <c r="AP62" t="s">
        <v>936</v>
      </c>
      <c r="AQ62">
        <v>5360</v>
      </c>
      <c r="AR62" s="350">
        <v>99.5</v>
      </c>
      <c r="AS62" s="350">
        <v>99.63</v>
      </c>
      <c r="AT62" s="350">
        <v>98.37</v>
      </c>
    </row>
    <row r="63" spans="5:46">
      <c r="E63" s="4" t="s">
        <v>937</v>
      </c>
      <c r="K63" s="4" t="s">
        <v>938</v>
      </c>
      <c r="S63" s="4" t="s">
        <v>26</v>
      </c>
      <c r="Z63" s="4" t="s">
        <v>939</v>
      </c>
      <c r="AE63" s="4" t="s">
        <v>940</v>
      </c>
      <c r="AL63" s="345">
        <v>5</v>
      </c>
      <c r="AM63" s="341" t="s">
        <v>5</v>
      </c>
      <c r="AN63" s="345">
        <v>5361</v>
      </c>
      <c r="AO63" s="341" t="s">
        <v>932</v>
      </c>
      <c r="AP63" t="s">
        <v>941</v>
      </c>
      <c r="AQ63">
        <v>5361</v>
      </c>
      <c r="AR63" s="350">
        <v>92.22</v>
      </c>
      <c r="AS63" s="350">
        <v>98.78</v>
      </c>
      <c r="AT63" s="350">
        <v>88.36</v>
      </c>
    </row>
    <row r="64" spans="5:46">
      <c r="E64" s="4" t="s">
        <v>853</v>
      </c>
      <c r="K64" s="4" t="s">
        <v>942</v>
      </c>
      <c r="S64" s="4" t="s">
        <v>943</v>
      </c>
      <c r="Z64" s="4" t="s">
        <v>944</v>
      </c>
      <c r="AE64" s="4" t="s">
        <v>945</v>
      </c>
      <c r="AL64" s="346">
        <v>5</v>
      </c>
      <c r="AM64" s="342" t="s">
        <v>5</v>
      </c>
      <c r="AN64" s="346">
        <v>5364</v>
      </c>
      <c r="AO64" s="342" t="s">
        <v>937</v>
      </c>
      <c r="AP64" t="s">
        <v>946</v>
      </c>
      <c r="AQ64">
        <v>5364</v>
      </c>
      <c r="AR64" s="350">
        <v>98.6</v>
      </c>
      <c r="AS64" s="350">
        <v>99.51</v>
      </c>
      <c r="AT64" s="350">
        <v>97.36</v>
      </c>
    </row>
    <row r="65" spans="5:46">
      <c r="E65" s="4" t="s">
        <v>947</v>
      </c>
      <c r="K65" s="4" t="s">
        <v>948</v>
      </c>
      <c r="S65" s="4" t="s">
        <v>949</v>
      </c>
      <c r="Z65" s="4" t="s">
        <v>950</v>
      </c>
      <c r="AE65" s="4" t="s">
        <v>951</v>
      </c>
      <c r="AL65" s="345">
        <v>5</v>
      </c>
      <c r="AM65" s="341" t="s">
        <v>5</v>
      </c>
      <c r="AN65" s="345">
        <v>5368</v>
      </c>
      <c r="AO65" s="341" t="s">
        <v>853</v>
      </c>
      <c r="AP65" t="s">
        <v>952</v>
      </c>
      <c r="AQ65">
        <v>5368</v>
      </c>
      <c r="AR65" s="350">
        <v>99.63</v>
      </c>
      <c r="AS65" s="350">
        <v>99.64</v>
      </c>
      <c r="AT65" s="350">
        <v>99.62</v>
      </c>
    </row>
    <row r="66" spans="5:46">
      <c r="E66" s="4" t="s">
        <v>953</v>
      </c>
      <c r="K66" s="4" t="s">
        <v>587</v>
      </c>
      <c r="S66" s="4" t="s">
        <v>954</v>
      </c>
      <c r="Z66" s="4" t="s">
        <v>955</v>
      </c>
      <c r="AE66" s="4" t="s">
        <v>956</v>
      </c>
      <c r="AL66" s="346">
        <v>5</v>
      </c>
      <c r="AM66" s="342" t="s">
        <v>5</v>
      </c>
      <c r="AN66" s="346">
        <v>5376</v>
      </c>
      <c r="AO66" s="342" t="s">
        <v>947</v>
      </c>
      <c r="AP66" t="s">
        <v>957</v>
      </c>
      <c r="AQ66">
        <v>5376</v>
      </c>
      <c r="AR66" s="350">
        <v>99.85</v>
      </c>
      <c r="AS66" s="350">
        <v>99.92</v>
      </c>
      <c r="AT66" s="350">
        <v>99.39</v>
      </c>
    </row>
    <row r="67" spans="5:46">
      <c r="E67" s="4" t="s">
        <v>958</v>
      </c>
      <c r="K67" s="4" t="s">
        <v>959</v>
      </c>
      <c r="S67" s="4" t="s">
        <v>960</v>
      </c>
      <c r="Z67" s="4" t="s">
        <v>961</v>
      </c>
      <c r="AE67" s="4" t="s">
        <v>962</v>
      </c>
      <c r="AL67" s="345">
        <v>5</v>
      </c>
      <c r="AM67" s="341" t="s">
        <v>5</v>
      </c>
      <c r="AN67" s="345">
        <v>5380</v>
      </c>
      <c r="AO67" s="341" t="s">
        <v>953</v>
      </c>
      <c r="AP67" t="s">
        <v>963</v>
      </c>
      <c r="AQ67">
        <v>5380</v>
      </c>
      <c r="AR67" s="350">
        <v>99.74</v>
      </c>
      <c r="AS67" s="350">
        <v>99.77</v>
      </c>
      <c r="AT67" s="350">
        <v>99.56</v>
      </c>
    </row>
    <row r="68" spans="5:46">
      <c r="E68" s="4" t="s">
        <v>325</v>
      </c>
      <c r="K68" s="4" t="s">
        <v>964</v>
      </c>
      <c r="S68" s="4" t="s">
        <v>965</v>
      </c>
      <c r="AE68" s="4" t="s">
        <v>966</v>
      </c>
      <c r="AL68" s="346">
        <v>5</v>
      </c>
      <c r="AM68" s="342" t="s">
        <v>5</v>
      </c>
      <c r="AN68" s="346">
        <v>5390</v>
      </c>
      <c r="AO68" s="342" t="s">
        <v>958</v>
      </c>
      <c r="AP68" t="s">
        <v>967</v>
      </c>
      <c r="AQ68">
        <v>5390</v>
      </c>
      <c r="AR68" s="350">
        <v>98.13</v>
      </c>
      <c r="AS68" s="350">
        <v>98.48</v>
      </c>
      <c r="AT68" s="350">
        <v>95.37</v>
      </c>
    </row>
    <row r="69" spans="5:46">
      <c r="E69" s="4" t="s">
        <v>968</v>
      </c>
      <c r="K69" s="4" t="s">
        <v>969</v>
      </c>
      <c r="S69" s="4" t="s">
        <v>970</v>
      </c>
      <c r="AE69" s="4" t="s">
        <v>971</v>
      </c>
      <c r="AL69" s="345">
        <v>5</v>
      </c>
      <c r="AM69" s="341" t="s">
        <v>5</v>
      </c>
      <c r="AN69" s="345">
        <v>5400</v>
      </c>
      <c r="AO69" s="341" t="s">
        <v>325</v>
      </c>
      <c r="AP69" t="s">
        <v>972</v>
      </c>
      <c r="AQ69">
        <v>5400</v>
      </c>
      <c r="AR69" s="350">
        <v>99.71</v>
      </c>
      <c r="AS69" s="350">
        <v>99.97</v>
      </c>
      <c r="AT69" s="350">
        <v>99.28</v>
      </c>
    </row>
    <row r="70" spans="5:46">
      <c r="E70" s="4" t="s">
        <v>973</v>
      </c>
      <c r="K70" s="4" t="s">
        <v>974</v>
      </c>
      <c r="S70" s="4" t="s">
        <v>975</v>
      </c>
      <c r="AE70" s="4" t="s">
        <v>976</v>
      </c>
      <c r="AL70" s="346">
        <v>5</v>
      </c>
      <c r="AM70" s="342" t="s">
        <v>5</v>
      </c>
      <c r="AN70" s="346">
        <v>5411</v>
      </c>
      <c r="AO70" s="342" t="s">
        <v>968</v>
      </c>
      <c r="AP70" t="s">
        <v>977</v>
      </c>
      <c r="AQ70">
        <v>5411</v>
      </c>
      <c r="AR70" s="350">
        <v>99.06</v>
      </c>
      <c r="AS70" s="350">
        <v>99.74</v>
      </c>
      <c r="AT70" s="350">
        <v>98.76</v>
      </c>
    </row>
    <row r="71" spans="5:46">
      <c r="E71" s="4" t="s">
        <v>978</v>
      </c>
      <c r="K71" s="4" t="s">
        <v>979</v>
      </c>
      <c r="S71" s="4" t="s">
        <v>980</v>
      </c>
      <c r="AE71" s="4" t="s">
        <v>80</v>
      </c>
      <c r="AL71" s="345">
        <v>5</v>
      </c>
      <c r="AM71" s="341" t="s">
        <v>5</v>
      </c>
      <c r="AN71" s="345">
        <v>5425</v>
      </c>
      <c r="AO71" s="341" t="s">
        <v>973</v>
      </c>
      <c r="AP71" t="s">
        <v>981</v>
      </c>
      <c r="AQ71">
        <v>5425</v>
      </c>
      <c r="AR71" s="350">
        <v>97.76</v>
      </c>
      <c r="AS71" s="350">
        <v>99.31</v>
      </c>
      <c r="AT71" s="350">
        <v>96.7</v>
      </c>
    </row>
    <row r="72" spans="5:46">
      <c r="E72" s="4" t="s">
        <v>75</v>
      </c>
      <c r="K72" s="4" t="s">
        <v>982</v>
      </c>
      <c r="S72" s="4" t="s">
        <v>983</v>
      </c>
      <c r="AE72" s="4" t="s">
        <v>984</v>
      </c>
      <c r="AL72" s="346">
        <v>5</v>
      </c>
      <c r="AM72" s="342" t="s">
        <v>5</v>
      </c>
      <c r="AN72" s="346">
        <v>5440</v>
      </c>
      <c r="AO72" s="342" t="s">
        <v>978</v>
      </c>
      <c r="AP72" t="s">
        <v>985</v>
      </c>
      <c r="AQ72">
        <v>5440</v>
      </c>
      <c r="AR72" s="350">
        <v>99.65</v>
      </c>
      <c r="AS72" s="350">
        <v>99.88</v>
      </c>
      <c r="AT72" s="350">
        <v>99.01</v>
      </c>
    </row>
    <row r="73" spans="5:46">
      <c r="E73" s="4" t="s">
        <v>986</v>
      </c>
      <c r="K73" s="4" t="s">
        <v>987</v>
      </c>
      <c r="S73" s="4" t="s">
        <v>988</v>
      </c>
      <c r="AE73" s="4" t="s">
        <v>989</v>
      </c>
      <c r="AL73" s="345">
        <v>5</v>
      </c>
      <c r="AM73" s="341" t="s">
        <v>5</v>
      </c>
      <c r="AN73" s="345">
        <v>5467</v>
      </c>
      <c r="AO73" s="341" t="s">
        <v>986</v>
      </c>
      <c r="AP73" t="s">
        <v>990</v>
      </c>
      <c r="AQ73">
        <v>5467</v>
      </c>
      <c r="AR73" s="350">
        <v>97.48</v>
      </c>
      <c r="AS73" s="350">
        <v>99.36</v>
      </c>
      <c r="AT73" s="350">
        <v>96.64</v>
      </c>
    </row>
    <row r="74" spans="5:46">
      <c r="E74" s="4" t="s">
        <v>991</v>
      </c>
      <c r="K74" s="4" t="s">
        <v>992</v>
      </c>
      <c r="S74" s="4" t="s">
        <v>993</v>
      </c>
      <c r="AE74" s="4" t="s">
        <v>994</v>
      </c>
      <c r="AL74" s="346">
        <v>5</v>
      </c>
      <c r="AM74" s="342" t="s">
        <v>5</v>
      </c>
      <c r="AN74" s="346">
        <v>5475</v>
      </c>
      <c r="AO74" s="342" t="s">
        <v>991</v>
      </c>
      <c r="AP74" t="s">
        <v>995</v>
      </c>
      <c r="AQ74">
        <v>5475</v>
      </c>
      <c r="AR74" s="350">
        <v>78.88</v>
      </c>
      <c r="AS74" s="350">
        <v>98.55</v>
      </c>
      <c r="AT74" s="350">
        <v>64.069999999999993</v>
      </c>
    </row>
    <row r="75" spans="5:46">
      <c r="E75" s="4" t="s">
        <v>996</v>
      </c>
      <c r="K75" s="4" t="s">
        <v>997</v>
      </c>
      <c r="S75" s="4" t="s">
        <v>998</v>
      </c>
      <c r="AE75" s="4" t="s">
        <v>999</v>
      </c>
      <c r="AL75" s="345">
        <v>5</v>
      </c>
      <c r="AM75" s="341" t="s">
        <v>5</v>
      </c>
      <c r="AN75" s="345">
        <v>5480</v>
      </c>
      <c r="AO75" s="341" t="s">
        <v>996</v>
      </c>
      <c r="AP75" t="s">
        <v>1000</v>
      </c>
      <c r="AQ75">
        <v>5480</v>
      </c>
      <c r="AR75" s="350">
        <v>86.16</v>
      </c>
      <c r="AS75" s="350">
        <v>94.96</v>
      </c>
      <c r="AT75" s="350">
        <v>79.44</v>
      </c>
    </row>
    <row r="76" spans="5:46">
      <c r="E76" s="4" t="s">
        <v>26</v>
      </c>
      <c r="K76" s="4" t="s">
        <v>1001</v>
      </c>
      <c r="S76" s="4" t="s">
        <v>1002</v>
      </c>
      <c r="AE76" s="4" t="s">
        <v>296</v>
      </c>
      <c r="AL76" s="346">
        <v>5</v>
      </c>
      <c r="AM76" s="342" t="s">
        <v>5</v>
      </c>
      <c r="AN76" s="346">
        <v>5483</v>
      </c>
      <c r="AO76" s="342" t="s">
        <v>26</v>
      </c>
      <c r="AP76" t="s">
        <v>1003</v>
      </c>
      <c r="AQ76">
        <v>5483</v>
      </c>
      <c r="AR76" s="350">
        <v>98.38</v>
      </c>
      <c r="AS76" s="350">
        <v>99.9</v>
      </c>
      <c r="AT76" s="350">
        <v>97.5</v>
      </c>
    </row>
    <row r="77" spans="5:46">
      <c r="E77" s="4" t="s">
        <v>1004</v>
      </c>
      <c r="K77" s="4" t="s">
        <v>1005</v>
      </c>
      <c r="S77" s="4" t="s">
        <v>1006</v>
      </c>
      <c r="AE77" s="4" t="s">
        <v>1007</v>
      </c>
      <c r="AL77" s="345">
        <v>5</v>
      </c>
      <c r="AM77" s="341" t="s">
        <v>5</v>
      </c>
      <c r="AN77" s="345">
        <v>5490</v>
      </c>
      <c r="AO77" s="341" t="s">
        <v>1008</v>
      </c>
      <c r="AP77" t="s">
        <v>1009</v>
      </c>
      <c r="AQ77">
        <v>5490</v>
      </c>
      <c r="AR77" s="350">
        <v>95.71</v>
      </c>
      <c r="AS77" s="350">
        <v>99.38</v>
      </c>
      <c r="AT77" s="350">
        <v>94.25</v>
      </c>
    </row>
    <row r="78" spans="5:46">
      <c r="E78" s="4" t="s">
        <v>1008</v>
      </c>
      <c r="K78" s="4" t="s">
        <v>1010</v>
      </c>
      <c r="S78" s="4" t="s">
        <v>880</v>
      </c>
      <c r="AE78" s="4" t="s">
        <v>929</v>
      </c>
      <c r="AL78" s="346">
        <v>5</v>
      </c>
      <c r="AM78" s="342" t="s">
        <v>5</v>
      </c>
      <c r="AN78" s="346">
        <v>5495</v>
      </c>
      <c r="AO78" s="342" t="s">
        <v>1004</v>
      </c>
      <c r="AP78" t="s">
        <v>1011</v>
      </c>
      <c r="AQ78">
        <v>5495</v>
      </c>
      <c r="AR78" s="350">
        <v>95.15</v>
      </c>
      <c r="AS78" s="350">
        <v>99.06</v>
      </c>
      <c r="AT78" s="350">
        <v>90.64</v>
      </c>
    </row>
    <row r="79" spans="5:46">
      <c r="E79" s="4" t="s">
        <v>1012</v>
      </c>
      <c r="K79" s="4" t="s">
        <v>1013</v>
      </c>
      <c r="S79" s="4" t="s">
        <v>1014</v>
      </c>
      <c r="AE79" s="4" t="s">
        <v>1015</v>
      </c>
      <c r="AL79" s="345">
        <v>5</v>
      </c>
      <c r="AM79" s="341" t="s">
        <v>5</v>
      </c>
      <c r="AN79" s="345">
        <v>5501</v>
      </c>
      <c r="AO79" s="341" t="s">
        <v>1012</v>
      </c>
      <c r="AP79" t="s">
        <v>1016</v>
      </c>
      <c r="AQ79">
        <v>5501</v>
      </c>
      <c r="AR79" s="350">
        <v>98.23</v>
      </c>
      <c r="AS79" s="350">
        <v>98.7</v>
      </c>
      <c r="AT79" s="350">
        <v>98.19</v>
      </c>
    </row>
    <row r="80" spans="5:46">
      <c r="E80" s="4" t="s">
        <v>1017</v>
      </c>
      <c r="K80" s="4" t="s">
        <v>1018</v>
      </c>
      <c r="S80" s="4" t="s">
        <v>900</v>
      </c>
      <c r="AE80" s="4" t="s">
        <v>1019</v>
      </c>
      <c r="AL80" s="346">
        <v>5</v>
      </c>
      <c r="AM80" s="342" t="s">
        <v>5</v>
      </c>
      <c r="AN80" s="346">
        <v>5541</v>
      </c>
      <c r="AO80" s="342" t="s">
        <v>1017</v>
      </c>
      <c r="AP80" t="s">
        <v>1020</v>
      </c>
      <c r="AQ80">
        <v>5541</v>
      </c>
      <c r="AR80" s="350">
        <v>99.28</v>
      </c>
      <c r="AS80" s="350">
        <v>99.81</v>
      </c>
      <c r="AT80" s="350">
        <v>98.4</v>
      </c>
    </row>
    <row r="81" spans="5:46">
      <c r="E81" s="4" t="s">
        <v>1021</v>
      </c>
      <c r="K81" s="4" t="s">
        <v>1022</v>
      </c>
      <c r="S81" s="4" t="s">
        <v>718</v>
      </c>
      <c r="AE81" s="4" t="s">
        <v>1023</v>
      </c>
      <c r="AL81" s="345">
        <v>5</v>
      </c>
      <c r="AM81" s="341" t="s">
        <v>5</v>
      </c>
      <c r="AN81" s="345">
        <v>5543</v>
      </c>
      <c r="AO81" s="341" t="s">
        <v>1021</v>
      </c>
      <c r="AP81" t="s">
        <v>1024</v>
      </c>
      <c r="AQ81">
        <v>5543</v>
      </c>
      <c r="AR81" s="350">
        <v>97.06</v>
      </c>
      <c r="AS81" s="350">
        <v>99.57</v>
      </c>
      <c r="AT81" s="350">
        <v>95.84</v>
      </c>
    </row>
    <row r="82" spans="5:46">
      <c r="E82" s="4" t="s">
        <v>1025</v>
      </c>
      <c r="K82" s="4" t="s">
        <v>1026</v>
      </c>
      <c r="S82" s="4" t="s">
        <v>271</v>
      </c>
      <c r="AE82" s="4" t="s">
        <v>1027</v>
      </c>
      <c r="AL82" s="346">
        <v>5</v>
      </c>
      <c r="AM82" s="342" t="s">
        <v>5</v>
      </c>
      <c r="AN82" s="346">
        <v>5576</v>
      </c>
      <c r="AO82" s="342" t="s">
        <v>1025</v>
      </c>
      <c r="AP82" t="s">
        <v>1028</v>
      </c>
      <c r="AQ82">
        <v>5576</v>
      </c>
      <c r="AR82" s="350">
        <v>98.62</v>
      </c>
      <c r="AS82" s="350">
        <v>98.95</v>
      </c>
      <c r="AT82" s="350">
        <v>98.17</v>
      </c>
    </row>
    <row r="83" spans="5:46">
      <c r="E83" s="4" t="s">
        <v>1029</v>
      </c>
      <c r="K83" s="4" t="s">
        <v>1030</v>
      </c>
      <c r="S83" s="4" t="s">
        <v>1031</v>
      </c>
      <c r="AE83" s="4" t="s">
        <v>32</v>
      </c>
      <c r="AL83" s="345">
        <v>5</v>
      </c>
      <c r="AM83" s="341" t="s">
        <v>5</v>
      </c>
      <c r="AN83" s="345">
        <v>5579</v>
      </c>
      <c r="AO83" s="341" t="s">
        <v>1029</v>
      </c>
      <c r="AP83" t="s">
        <v>1032</v>
      </c>
      <c r="AQ83">
        <v>5579</v>
      </c>
      <c r="AR83" s="350">
        <v>98.69</v>
      </c>
      <c r="AS83" s="350">
        <v>99.29</v>
      </c>
      <c r="AT83" s="350">
        <v>95.21</v>
      </c>
    </row>
    <row r="84" spans="5:46">
      <c r="E84" s="4" t="s">
        <v>1033</v>
      </c>
      <c r="K84" s="4" t="s">
        <v>1034</v>
      </c>
      <c r="S84" s="4" t="s">
        <v>1035</v>
      </c>
      <c r="AE84" s="4" t="s">
        <v>1036</v>
      </c>
      <c r="AL84" s="346">
        <v>5</v>
      </c>
      <c r="AM84" s="342" t="s">
        <v>5</v>
      </c>
      <c r="AN84" s="346">
        <v>5585</v>
      </c>
      <c r="AO84" s="342" t="s">
        <v>1033</v>
      </c>
      <c r="AP84" t="s">
        <v>1037</v>
      </c>
      <c r="AQ84">
        <v>5585</v>
      </c>
      <c r="AR84" s="350">
        <v>98.53</v>
      </c>
      <c r="AS84" s="350">
        <v>99.57</v>
      </c>
      <c r="AT84" s="350">
        <v>98.01</v>
      </c>
    </row>
    <row r="85" spans="5:46">
      <c r="E85" s="4" t="s">
        <v>1038</v>
      </c>
      <c r="K85" s="4" t="s">
        <v>1039</v>
      </c>
      <c r="S85" s="4" t="s">
        <v>1040</v>
      </c>
      <c r="AE85" s="4" t="s">
        <v>1041</v>
      </c>
      <c r="AL85" s="345">
        <v>5</v>
      </c>
      <c r="AM85" s="341" t="s">
        <v>5</v>
      </c>
      <c r="AN85" s="345">
        <v>5591</v>
      </c>
      <c r="AO85" s="341" t="s">
        <v>1038</v>
      </c>
      <c r="AP85" t="s">
        <v>1042</v>
      </c>
      <c r="AQ85">
        <v>5591</v>
      </c>
      <c r="AR85" s="350">
        <v>98.6</v>
      </c>
      <c r="AS85" s="350">
        <v>99.69</v>
      </c>
      <c r="AT85" s="350">
        <v>98.35</v>
      </c>
    </row>
    <row r="86" spans="5:46">
      <c r="E86" s="4" t="s">
        <v>1043</v>
      </c>
      <c r="K86" s="4" t="s">
        <v>1044</v>
      </c>
      <c r="S86" s="4" t="s">
        <v>1045</v>
      </c>
      <c r="AE86" s="4" t="s">
        <v>1046</v>
      </c>
      <c r="AL86" s="346">
        <v>5</v>
      </c>
      <c r="AM86" s="342" t="s">
        <v>5</v>
      </c>
      <c r="AN86" s="346">
        <v>5604</v>
      </c>
      <c r="AO86" s="342" t="s">
        <v>1043</v>
      </c>
      <c r="AP86" t="s">
        <v>1047</v>
      </c>
      <c r="AQ86">
        <v>5604</v>
      </c>
      <c r="AR86" s="350">
        <v>97.64</v>
      </c>
      <c r="AS86" s="350">
        <v>99.17</v>
      </c>
      <c r="AT86" s="350">
        <v>96.11</v>
      </c>
    </row>
    <row r="87" spans="5:46">
      <c r="E87" s="4" t="s">
        <v>1048</v>
      </c>
      <c r="K87" s="4" t="s">
        <v>1049</v>
      </c>
      <c r="S87" s="4" t="s">
        <v>1050</v>
      </c>
      <c r="AE87" s="4" t="s">
        <v>1051</v>
      </c>
      <c r="AL87" s="345">
        <v>5</v>
      </c>
      <c r="AM87" s="341" t="s">
        <v>5</v>
      </c>
      <c r="AN87" s="345">
        <v>5607</v>
      </c>
      <c r="AO87" s="341" t="s">
        <v>1048</v>
      </c>
      <c r="AP87" t="s">
        <v>1052</v>
      </c>
      <c r="AQ87">
        <v>5607</v>
      </c>
      <c r="AR87" s="350">
        <v>99.43</v>
      </c>
      <c r="AS87" s="350">
        <v>99.36</v>
      </c>
      <c r="AT87" s="350">
        <v>99.53</v>
      </c>
    </row>
    <row r="88" spans="5:46">
      <c r="E88" s="4" t="s">
        <v>971</v>
      </c>
      <c r="K88" s="4" t="s">
        <v>1053</v>
      </c>
      <c r="S88" s="4" t="s">
        <v>1054</v>
      </c>
      <c r="AE88" s="4" t="s">
        <v>1055</v>
      </c>
      <c r="AL88" s="346">
        <v>5</v>
      </c>
      <c r="AM88" s="342" t="s">
        <v>5</v>
      </c>
      <c r="AN88" s="346">
        <v>5615</v>
      </c>
      <c r="AO88" s="342" t="s">
        <v>971</v>
      </c>
      <c r="AP88" t="s">
        <v>1056</v>
      </c>
      <c r="AQ88">
        <v>5615</v>
      </c>
      <c r="AR88" s="350">
        <v>99.77</v>
      </c>
      <c r="AS88" s="350">
        <v>99.89</v>
      </c>
      <c r="AT88" s="350">
        <v>99.53</v>
      </c>
    </row>
    <row r="89" spans="5:46">
      <c r="E89" s="4" t="s">
        <v>359</v>
      </c>
      <c r="K89" s="4" t="s">
        <v>687</v>
      </c>
      <c r="S89" s="4" t="s">
        <v>1057</v>
      </c>
      <c r="AE89" s="4" t="s">
        <v>435</v>
      </c>
      <c r="AL89" s="345">
        <v>5</v>
      </c>
      <c r="AM89" s="341" t="s">
        <v>5</v>
      </c>
      <c r="AN89" s="345">
        <v>5628</v>
      </c>
      <c r="AO89" s="341" t="s">
        <v>359</v>
      </c>
      <c r="AP89" t="s">
        <v>1058</v>
      </c>
      <c r="AQ89">
        <v>5628</v>
      </c>
      <c r="AR89" s="350">
        <v>96.49</v>
      </c>
      <c r="AS89" s="350">
        <v>99.13</v>
      </c>
      <c r="AT89" s="350">
        <v>94.86</v>
      </c>
    </row>
    <row r="90" spans="5:46">
      <c r="E90" s="4" t="s">
        <v>1059</v>
      </c>
      <c r="K90" s="4" t="s">
        <v>1060</v>
      </c>
      <c r="S90" s="4" t="s">
        <v>1061</v>
      </c>
      <c r="AE90" s="4" t="s">
        <v>1062</v>
      </c>
      <c r="AL90" s="346">
        <v>5</v>
      </c>
      <c r="AM90" s="342" t="s">
        <v>5</v>
      </c>
      <c r="AN90" s="346">
        <v>5631</v>
      </c>
      <c r="AO90" s="342" t="s">
        <v>1059</v>
      </c>
      <c r="AP90" t="s">
        <v>1063</v>
      </c>
      <c r="AQ90">
        <v>5631</v>
      </c>
      <c r="AR90" s="350">
        <v>99.9</v>
      </c>
      <c r="AS90" s="350">
        <v>99.91</v>
      </c>
      <c r="AT90" s="350">
        <v>99.84</v>
      </c>
    </row>
    <row r="91" spans="5:46">
      <c r="E91" s="4" t="s">
        <v>1064</v>
      </c>
      <c r="K91" s="4" t="s">
        <v>1065</v>
      </c>
      <c r="S91" s="4" t="s">
        <v>1066</v>
      </c>
      <c r="AL91" s="345">
        <v>5</v>
      </c>
      <c r="AM91" s="341" t="s">
        <v>5</v>
      </c>
      <c r="AN91" s="345">
        <v>5642</v>
      </c>
      <c r="AO91" s="341" t="s">
        <v>1064</v>
      </c>
      <c r="AP91" t="s">
        <v>1067</v>
      </c>
      <c r="AQ91">
        <v>5642</v>
      </c>
      <c r="AR91" s="350">
        <v>98.1</v>
      </c>
      <c r="AS91" s="350">
        <v>99.47</v>
      </c>
      <c r="AT91" s="350">
        <v>97.18</v>
      </c>
    </row>
    <row r="92" spans="5:46">
      <c r="E92" s="4" t="s">
        <v>1068</v>
      </c>
      <c r="K92" s="4" t="s">
        <v>1069</v>
      </c>
      <c r="S92" s="4" t="s">
        <v>1070</v>
      </c>
      <c r="AL92" s="346">
        <v>5</v>
      </c>
      <c r="AM92" s="342" t="s">
        <v>5</v>
      </c>
      <c r="AN92" s="346">
        <v>5647</v>
      </c>
      <c r="AO92" s="342" t="s">
        <v>1068</v>
      </c>
      <c r="AP92" t="s">
        <v>1071</v>
      </c>
      <c r="AQ92">
        <v>5647</v>
      </c>
      <c r="AR92" s="350">
        <v>98.19</v>
      </c>
      <c r="AS92" s="350">
        <v>99.1</v>
      </c>
      <c r="AT92" s="350">
        <v>97.41</v>
      </c>
    </row>
    <row r="93" spans="5:46">
      <c r="E93" s="4" t="s">
        <v>623</v>
      </c>
      <c r="K93" s="4" t="s">
        <v>1072</v>
      </c>
      <c r="S93" s="4" t="s">
        <v>1073</v>
      </c>
      <c r="AL93" s="345">
        <v>5</v>
      </c>
      <c r="AM93" s="341" t="s">
        <v>5</v>
      </c>
      <c r="AN93" s="345">
        <v>5649</v>
      </c>
      <c r="AO93" s="341" t="s">
        <v>623</v>
      </c>
      <c r="AP93" t="s">
        <v>1074</v>
      </c>
      <c r="AQ93">
        <v>5649</v>
      </c>
      <c r="AR93" s="350">
        <v>97.42</v>
      </c>
      <c r="AS93" s="350">
        <v>99.49</v>
      </c>
      <c r="AT93" s="350">
        <v>95.48</v>
      </c>
    </row>
    <row r="94" spans="5:46">
      <c r="E94" s="4" t="s">
        <v>271</v>
      </c>
      <c r="K94" s="4" t="s">
        <v>1075</v>
      </c>
      <c r="S94" s="4" t="s">
        <v>1076</v>
      </c>
      <c r="AL94" s="346">
        <v>5</v>
      </c>
      <c r="AM94" s="342" t="s">
        <v>5</v>
      </c>
      <c r="AN94" s="346">
        <v>5652</v>
      </c>
      <c r="AO94" s="342" t="s">
        <v>271</v>
      </c>
      <c r="AP94" t="s">
        <v>1077</v>
      </c>
      <c r="AQ94">
        <v>5652</v>
      </c>
      <c r="AR94" s="350">
        <v>94.21</v>
      </c>
      <c r="AS94" s="350">
        <v>99.77</v>
      </c>
      <c r="AT94" s="350">
        <v>88.83</v>
      </c>
    </row>
    <row r="95" spans="5:46">
      <c r="E95" s="4" t="s">
        <v>1078</v>
      </c>
      <c r="K95" s="4" t="s">
        <v>1079</v>
      </c>
      <c r="S95" s="4" t="s">
        <v>1080</v>
      </c>
      <c r="AL95" s="345">
        <v>5</v>
      </c>
      <c r="AM95" s="341" t="s">
        <v>5</v>
      </c>
      <c r="AN95" s="345">
        <v>5656</v>
      </c>
      <c r="AO95" s="341" t="s">
        <v>1078</v>
      </c>
      <c r="AP95" t="s">
        <v>1081</v>
      </c>
      <c r="AQ95">
        <v>5656</v>
      </c>
      <c r="AR95" s="350">
        <v>98.76</v>
      </c>
      <c r="AS95" s="350">
        <v>99.43</v>
      </c>
      <c r="AT95" s="350">
        <v>98.1</v>
      </c>
    </row>
    <row r="96" spans="5:46">
      <c r="E96" s="4" t="s">
        <v>1082</v>
      </c>
      <c r="K96" s="4" t="s">
        <v>1083</v>
      </c>
      <c r="S96" s="4" t="s">
        <v>1084</v>
      </c>
      <c r="AL96" s="346">
        <v>5</v>
      </c>
      <c r="AM96" s="342" t="s">
        <v>5</v>
      </c>
      <c r="AN96" s="346">
        <v>5658</v>
      </c>
      <c r="AO96" s="342" t="s">
        <v>1082</v>
      </c>
      <c r="AP96" t="s">
        <v>1085</v>
      </c>
      <c r="AQ96">
        <v>5658</v>
      </c>
      <c r="AR96" s="350">
        <v>99.68</v>
      </c>
      <c r="AS96" s="350">
        <v>99.86</v>
      </c>
      <c r="AT96" s="350">
        <v>99.16</v>
      </c>
    </row>
    <row r="97" spans="5:46">
      <c r="E97" s="4" t="s">
        <v>1086</v>
      </c>
      <c r="K97" s="4" t="s">
        <v>1087</v>
      </c>
      <c r="S97" s="4" t="s">
        <v>1088</v>
      </c>
      <c r="AL97" s="345">
        <v>5</v>
      </c>
      <c r="AM97" s="341" t="s">
        <v>5</v>
      </c>
      <c r="AN97" s="345">
        <v>5659</v>
      </c>
      <c r="AO97" s="341" t="s">
        <v>1086</v>
      </c>
      <c r="AP97" t="s">
        <v>1089</v>
      </c>
      <c r="AQ97">
        <v>5659</v>
      </c>
      <c r="AR97" s="350">
        <v>98.92</v>
      </c>
      <c r="AS97" s="350">
        <v>99.49</v>
      </c>
      <c r="AT97" s="350">
        <v>98.61</v>
      </c>
    </row>
    <row r="98" spans="5:46">
      <c r="E98" s="4" t="s">
        <v>815</v>
      </c>
      <c r="K98" s="4" t="s">
        <v>1090</v>
      </c>
      <c r="S98" s="4" t="s">
        <v>1091</v>
      </c>
      <c r="AL98" s="346">
        <v>5</v>
      </c>
      <c r="AM98" s="342" t="s">
        <v>5</v>
      </c>
      <c r="AN98" s="346">
        <v>5660</v>
      </c>
      <c r="AO98" s="342" t="s">
        <v>815</v>
      </c>
      <c r="AP98" t="s">
        <v>1092</v>
      </c>
      <c r="AQ98">
        <v>5660</v>
      </c>
      <c r="AR98" s="350">
        <v>98.24</v>
      </c>
      <c r="AS98" s="350">
        <v>99.46</v>
      </c>
      <c r="AT98" s="350">
        <v>96.39</v>
      </c>
    </row>
    <row r="99" spans="5:46">
      <c r="E99" s="4" t="s">
        <v>1093</v>
      </c>
      <c r="K99" s="4" t="s">
        <v>1094</v>
      </c>
      <c r="S99" s="4" t="s">
        <v>1095</v>
      </c>
      <c r="AL99" s="345">
        <v>5</v>
      </c>
      <c r="AM99" s="341" t="s">
        <v>5</v>
      </c>
      <c r="AN99" s="345">
        <v>5664</v>
      </c>
      <c r="AO99" s="341" t="s">
        <v>1093</v>
      </c>
      <c r="AP99" t="s">
        <v>1096</v>
      </c>
      <c r="AQ99">
        <v>5664</v>
      </c>
      <c r="AR99" s="350">
        <v>99.13</v>
      </c>
      <c r="AS99" s="350">
        <v>99.82</v>
      </c>
      <c r="AT99" s="350">
        <v>97.93</v>
      </c>
    </row>
    <row r="100" spans="5:46">
      <c r="E100" s="4" t="s">
        <v>1097</v>
      </c>
      <c r="K100" s="4" t="s">
        <v>1098</v>
      </c>
      <c r="S100" s="4" t="s">
        <v>1099</v>
      </c>
      <c r="AL100" s="346">
        <v>5</v>
      </c>
      <c r="AM100" s="342" t="s">
        <v>5</v>
      </c>
      <c r="AN100" s="346">
        <v>5665</v>
      </c>
      <c r="AO100" s="342" t="s">
        <v>1097</v>
      </c>
      <c r="AP100" t="s">
        <v>1100</v>
      </c>
      <c r="AQ100">
        <v>5665</v>
      </c>
      <c r="AR100" s="350">
        <v>97.85</v>
      </c>
      <c r="AS100" s="350">
        <v>99.16</v>
      </c>
      <c r="AT100" s="350">
        <v>96.88</v>
      </c>
    </row>
    <row r="101" spans="5:46">
      <c r="E101" s="4" t="s">
        <v>1101</v>
      </c>
      <c r="K101" s="4" t="s">
        <v>1102</v>
      </c>
      <c r="S101" s="4" t="s">
        <v>1103</v>
      </c>
      <c r="AL101" s="345">
        <v>5</v>
      </c>
      <c r="AM101" s="341" t="s">
        <v>5</v>
      </c>
      <c r="AN101" s="345">
        <v>5667</v>
      </c>
      <c r="AO101" s="341" t="s">
        <v>1101</v>
      </c>
      <c r="AP101" t="s">
        <v>1104</v>
      </c>
      <c r="AQ101">
        <v>5667</v>
      </c>
      <c r="AR101" s="350">
        <v>97.25</v>
      </c>
      <c r="AS101" s="350">
        <v>99.38</v>
      </c>
      <c r="AT101" s="350">
        <v>94.15</v>
      </c>
    </row>
    <row r="102" spans="5:46">
      <c r="E102" s="4" t="s">
        <v>1105</v>
      </c>
      <c r="K102" s="4" t="s">
        <v>1106</v>
      </c>
      <c r="S102" s="4" t="s">
        <v>1107</v>
      </c>
      <c r="AL102" s="346">
        <v>5</v>
      </c>
      <c r="AM102" s="342" t="s">
        <v>5</v>
      </c>
      <c r="AN102" s="346">
        <v>5670</v>
      </c>
      <c r="AO102" s="342" t="s">
        <v>1105</v>
      </c>
      <c r="AP102" t="s">
        <v>1108</v>
      </c>
      <c r="AQ102">
        <v>5670</v>
      </c>
      <c r="AR102" s="350">
        <v>97.75</v>
      </c>
      <c r="AS102" s="350">
        <v>99.58</v>
      </c>
      <c r="AT102" s="350">
        <v>96.76</v>
      </c>
    </row>
    <row r="103" spans="5:46">
      <c r="E103" s="4" t="s">
        <v>1109</v>
      </c>
      <c r="K103" s="4" t="s">
        <v>1110</v>
      </c>
      <c r="S103" s="4" t="s">
        <v>1111</v>
      </c>
      <c r="AL103" s="345">
        <v>5</v>
      </c>
      <c r="AM103" s="341" t="s">
        <v>5</v>
      </c>
      <c r="AN103" s="345">
        <v>5674</v>
      </c>
      <c r="AO103" s="341" t="s">
        <v>1109</v>
      </c>
      <c r="AP103" t="s">
        <v>1112</v>
      </c>
      <c r="AQ103">
        <v>5674</v>
      </c>
      <c r="AR103" s="350">
        <v>99.06</v>
      </c>
      <c r="AS103" s="350">
        <v>99.59</v>
      </c>
      <c r="AT103" s="350">
        <v>98.83</v>
      </c>
    </row>
    <row r="104" spans="5:46">
      <c r="E104" s="4" t="s">
        <v>929</v>
      </c>
      <c r="K104" s="4" t="s">
        <v>1113</v>
      </c>
      <c r="S104" s="4" t="s">
        <v>1114</v>
      </c>
      <c r="AL104" s="346">
        <v>5</v>
      </c>
      <c r="AM104" s="342" t="s">
        <v>5</v>
      </c>
      <c r="AN104" s="346">
        <v>5679</v>
      </c>
      <c r="AO104" s="342" t="s">
        <v>929</v>
      </c>
      <c r="AP104" t="s">
        <v>1115</v>
      </c>
      <c r="AQ104">
        <v>5679</v>
      </c>
      <c r="AR104" s="350">
        <v>99.02</v>
      </c>
      <c r="AS104" s="350">
        <v>99.75</v>
      </c>
      <c r="AT104" s="350">
        <v>98.37</v>
      </c>
    </row>
    <row r="105" spans="5:46">
      <c r="E105" s="4" t="s">
        <v>353</v>
      </c>
      <c r="K105" s="4" t="s">
        <v>1116</v>
      </c>
      <c r="S105" s="4" t="s">
        <v>1117</v>
      </c>
      <c r="AL105" s="345">
        <v>5</v>
      </c>
      <c r="AM105" s="341" t="s">
        <v>5</v>
      </c>
      <c r="AN105" s="345">
        <v>5686</v>
      </c>
      <c r="AO105" s="341" t="s">
        <v>1118</v>
      </c>
      <c r="AP105" t="s">
        <v>1119</v>
      </c>
      <c r="AQ105">
        <v>5686</v>
      </c>
      <c r="AR105" s="350">
        <v>99.28</v>
      </c>
      <c r="AS105" s="350">
        <v>99.8</v>
      </c>
      <c r="AT105" s="350">
        <v>98.63</v>
      </c>
    </row>
    <row r="106" spans="5:46">
      <c r="E106" s="4" t="s">
        <v>1118</v>
      </c>
      <c r="K106" s="4" t="s">
        <v>1120</v>
      </c>
      <c r="S106" s="4" t="s">
        <v>1121</v>
      </c>
      <c r="AL106" s="346">
        <v>5</v>
      </c>
      <c r="AM106" s="342" t="s">
        <v>5</v>
      </c>
      <c r="AN106" s="346">
        <v>5690</v>
      </c>
      <c r="AO106" s="342" t="s">
        <v>1122</v>
      </c>
      <c r="AP106" t="s">
        <v>1123</v>
      </c>
      <c r="AQ106">
        <v>5690</v>
      </c>
      <c r="AR106" s="350">
        <v>97.9</v>
      </c>
      <c r="AS106" s="350">
        <v>99.33</v>
      </c>
      <c r="AT106" s="350">
        <v>97.38</v>
      </c>
    </row>
    <row r="107" spans="5:46">
      <c r="E107" s="4" t="s">
        <v>1122</v>
      </c>
      <c r="K107" s="4" t="s">
        <v>1124</v>
      </c>
      <c r="S107" s="4" t="s">
        <v>1125</v>
      </c>
      <c r="AL107" s="345">
        <v>5</v>
      </c>
      <c r="AM107" s="341" t="s">
        <v>5</v>
      </c>
      <c r="AN107" s="345">
        <v>5697</v>
      </c>
      <c r="AO107" s="341" t="s">
        <v>844</v>
      </c>
      <c r="AP107" t="s">
        <v>1126</v>
      </c>
      <c r="AQ107">
        <v>5697</v>
      </c>
      <c r="AR107" s="350">
        <v>99.73</v>
      </c>
      <c r="AS107" s="350">
        <v>99.81</v>
      </c>
      <c r="AT107" s="350">
        <v>99.46</v>
      </c>
    </row>
    <row r="108" spans="5:46">
      <c r="E108" s="4" t="s">
        <v>1127</v>
      </c>
      <c r="K108" s="4" t="s">
        <v>1128</v>
      </c>
      <c r="S108" s="4" t="s">
        <v>1129</v>
      </c>
      <c r="AL108" s="346">
        <v>5</v>
      </c>
      <c r="AM108" s="342" t="s">
        <v>5</v>
      </c>
      <c r="AN108" s="346">
        <v>5736</v>
      </c>
      <c r="AO108" s="342" t="s">
        <v>1127</v>
      </c>
      <c r="AP108" t="s">
        <v>1130</v>
      </c>
      <c r="AQ108">
        <v>5736</v>
      </c>
      <c r="AR108" s="350">
        <v>94.39</v>
      </c>
      <c r="AS108" s="350">
        <v>97.6</v>
      </c>
      <c r="AT108" s="350">
        <v>78.36</v>
      </c>
    </row>
    <row r="109" spans="5:46">
      <c r="E109" s="4" t="s">
        <v>1131</v>
      </c>
      <c r="K109" s="4" t="s">
        <v>1132</v>
      </c>
      <c r="S109" s="4" t="s">
        <v>1133</v>
      </c>
      <c r="AL109" s="345">
        <v>5</v>
      </c>
      <c r="AM109" s="341" t="s">
        <v>5</v>
      </c>
      <c r="AN109" s="345">
        <v>5756</v>
      </c>
      <c r="AO109" s="341" t="s">
        <v>1131</v>
      </c>
      <c r="AP109" t="s">
        <v>1134</v>
      </c>
      <c r="AQ109">
        <v>5756</v>
      </c>
      <c r="AR109" s="350">
        <v>98.73</v>
      </c>
      <c r="AS109" s="350">
        <v>99.53</v>
      </c>
      <c r="AT109" s="350">
        <v>97.88</v>
      </c>
    </row>
    <row r="110" spans="5:46">
      <c r="E110" s="4" t="s">
        <v>1135</v>
      </c>
      <c r="K110" s="4" t="s">
        <v>1136</v>
      </c>
      <c r="S110" s="4" t="s">
        <v>1137</v>
      </c>
      <c r="AL110" s="346">
        <v>5</v>
      </c>
      <c r="AM110" s="342" t="s">
        <v>5</v>
      </c>
      <c r="AN110" s="346">
        <v>5761</v>
      </c>
      <c r="AO110" s="342" t="s">
        <v>1135</v>
      </c>
      <c r="AP110" t="s">
        <v>1138</v>
      </c>
      <c r="AQ110">
        <v>5761</v>
      </c>
      <c r="AR110" s="350">
        <v>98.71</v>
      </c>
      <c r="AS110" s="350">
        <v>99.78</v>
      </c>
      <c r="AT110" s="350">
        <v>97.75</v>
      </c>
    </row>
    <row r="111" spans="5:46">
      <c r="E111" s="4" t="s">
        <v>1139</v>
      </c>
      <c r="K111" s="4" t="s">
        <v>1140</v>
      </c>
      <c r="S111" s="4" t="s">
        <v>1141</v>
      </c>
      <c r="AL111" s="345">
        <v>5</v>
      </c>
      <c r="AM111" s="341" t="s">
        <v>5</v>
      </c>
      <c r="AN111" s="345">
        <v>5789</v>
      </c>
      <c r="AO111" s="341" t="s">
        <v>1139</v>
      </c>
      <c r="AP111" t="s">
        <v>1142</v>
      </c>
      <c r="AQ111">
        <v>5789</v>
      </c>
      <c r="AR111" s="350">
        <v>98.77</v>
      </c>
      <c r="AS111" s="350">
        <v>99.24</v>
      </c>
      <c r="AT111" s="350">
        <v>98.32</v>
      </c>
    </row>
    <row r="112" spans="5:46">
      <c r="E112" s="4" t="s">
        <v>1143</v>
      </c>
      <c r="K112" s="4" t="s">
        <v>1144</v>
      </c>
      <c r="S112" s="4" t="s">
        <v>1145</v>
      </c>
      <c r="AL112" s="346">
        <v>5</v>
      </c>
      <c r="AM112" s="342" t="s">
        <v>5</v>
      </c>
      <c r="AN112" s="346">
        <v>5790</v>
      </c>
      <c r="AO112" s="342" t="s">
        <v>1143</v>
      </c>
      <c r="AP112" t="s">
        <v>1146</v>
      </c>
      <c r="AQ112">
        <v>5790</v>
      </c>
      <c r="AR112" s="350">
        <v>95.16</v>
      </c>
      <c r="AS112" s="350">
        <v>99.14</v>
      </c>
      <c r="AT112" s="350">
        <v>90.21</v>
      </c>
    </row>
    <row r="113" spans="5:46">
      <c r="E113" s="4" t="s">
        <v>1147</v>
      </c>
      <c r="K113" s="4" t="s">
        <v>1148</v>
      </c>
      <c r="S113" s="4" t="s">
        <v>1149</v>
      </c>
      <c r="AL113" s="345">
        <v>5</v>
      </c>
      <c r="AM113" s="341" t="s">
        <v>5</v>
      </c>
      <c r="AN113" s="345">
        <v>5792</v>
      </c>
      <c r="AO113" s="341" t="s">
        <v>1147</v>
      </c>
      <c r="AP113" t="s">
        <v>1150</v>
      </c>
      <c r="AQ113">
        <v>5792</v>
      </c>
      <c r="AR113" s="350">
        <v>98.69</v>
      </c>
      <c r="AS113" s="350">
        <v>98.74</v>
      </c>
      <c r="AT113" s="350">
        <v>98.61</v>
      </c>
    </row>
    <row r="114" spans="5:46">
      <c r="E114" s="4" t="s">
        <v>1151</v>
      </c>
      <c r="K114" s="4" t="s">
        <v>1152</v>
      </c>
      <c r="S114" s="4" t="s">
        <v>1153</v>
      </c>
      <c r="AL114" s="346">
        <v>5</v>
      </c>
      <c r="AM114" s="342" t="s">
        <v>5</v>
      </c>
      <c r="AN114" s="346">
        <v>5809</v>
      </c>
      <c r="AO114" s="342" t="s">
        <v>1151</v>
      </c>
      <c r="AP114" t="s">
        <v>1154</v>
      </c>
      <c r="AQ114">
        <v>5809</v>
      </c>
      <c r="AR114" s="350">
        <v>99.13</v>
      </c>
      <c r="AS114" s="350">
        <v>99.78</v>
      </c>
      <c r="AT114" s="350">
        <v>98.49</v>
      </c>
    </row>
    <row r="115" spans="5:46">
      <c r="E115" s="4" t="s">
        <v>793</v>
      </c>
      <c r="K115" s="4" t="s">
        <v>1155</v>
      </c>
      <c r="S115" s="4" t="s">
        <v>1156</v>
      </c>
      <c r="AL115" s="345">
        <v>5</v>
      </c>
      <c r="AM115" s="341" t="s">
        <v>5</v>
      </c>
      <c r="AN115" s="345">
        <v>5819</v>
      </c>
      <c r="AO115" s="341" t="s">
        <v>793</v>
      </c>
      <c r="AP115" t="s">
        <v>1157</v>
      </c>
      <c r="AQ115">
        <v>5819</v>
      </c>
      <c r="AR115" s="350">
        <v>97.53</v>
      </c>
      <c r="AS115" s="350">
        <v>97.99</v>
      </c>
      <c r="AT115" s="350">
        <v>97.25</v>
      </c>
    </row>
    <row r="116" spans="5:46">
      <c r="E116" s="4" t="s">
        <v>1158</v>
      </c>
      <c r="K116" s="4" t="s">
        <v>1159</v>
      </c>
      <c r="S116" s="4" t="s">
        <v>1160</v>
      </c>
      <c r="AL116" s="346">
        <v>5</v>
      </c>
      <c r="AM116" s="342" t="s">
        <v>5</v>
      </c>
      <c r="AN116" s="346">
        <v>5837</v>
      </c>
      <c r="AO116" s="342" t="s">
        <v>1158</v>
      </c>
      <c r="AP116" t="s">
        <v>1161</v>
      </c>
      <c r="AQ116">
        <v>5837</v>
      </c>
      <c r="AR116" s="350">
        <v>96.9</v>
      </c>
      <c r="AS116" s="350">
        <v>98.3</v>
      </c>
      <c r="AT116" s="350">
        <v>95.92</v>
      </c>
    </row>
    <row r="117" spans="5:46">
      <c r="E117" s="4" t="s">
        <v>1162</v>
      </c>
      <c r="K117" s="4" t="s">
        <v>1163</v>
      </c>
      <c r="S117" s="4" t="s">
        <v>1164</v>
      </c>
      <c r="AL117" s="345">
        <v>5</v>
      </c>
      <c r="AM117" s="341" t="s">
        <v>5</v>
      </c>
      <c r="AN117" s="345">
        <v>5842</v>
      </c>
      <c r="AO117" s="341" t="s">
        <v>1162</v>
      </c>
      <c r="AP117" t="s">
        <v>1165</v>
      </c>
      <c r="AQ117">
        <v>5842</v>
      </c>
      <c r="AR117" s="350">
        <v>95.94</v>
      </c>
      <c r="AS117" s="350">
        <v>98.1</v>
      </c>
      <c r="AT117" s="350">
        <v>94.86</v>
      </c>
    </row>
    <row r="118" spans="5:46">
      <c r="E118" s="4" t="s">
        <v>1166</v>
      </c>
      <c r="K118" s="4" t="s">
        <v>1167</v>
      </c>
      <c r="S118" s="4" t="s">
        <v>1168</v>
      </c>
      <c r="AL118" s="346">
        <v>5</v>
      </c>
      <c r="AM118" s="342" t="s">
        <v>5</v>
      </c>
      <c r="AN118" s="346">
        <v>5847</v>
      </c>
      <c r="AO118" s="342" t="s">
        <v>1166</v>
      </c>
      <c r="AP118" t="s">
        <v>1169</v>
      </c>
      <c r="AQ118">
        <v>5847</v>
      </c>
      <c r="AR118" s="350">
        <v>94.52</v>
      </c>
      <c r="AS118" s="350">
        <v>98.59</v>
      </c>
      <c r="AT118" s="350">
        <v>89.18</v>
      </c>
    </row>
    <row r="119" spans="5:46">
      <c r="E119" s="4" t="s">
        <v>1170</v>
      </c>
      <c r="K119" s="4" t="s">
        <v>1171</v>
      </c>
      <c r="S119" s="4" t="s">
        <v>1172</v>
      </c>
      <c r="AL119" s="345">
        <v>5</v>
      </c>
      <c r="AM119" s="341" t="s">
        <v>5</v>
      </c>
      <c r="AN119" s="345">
        <v>5854</v>
      </c>
      <c r="AO119" s="341" t="s">
        <v>1170</v>
      </c>
      <c r="AP119" t="s">
        <v>1173</v>
      </c>
      <c r="AQ119">
        <v>5854</v>
      </c>
      <c r="AR119" s="350">
        <v>93.53</v>
      </c>
      <c r="AS119" s="350">
        <v>98.49</v>
      </c>
      <c r="AT119" s="350">
        <v>91.62</v>
      </c>
    </row>
    <row r="120" spans="5:46">
      <c r="E120" s="4" t="s">
        <v>450</v>
      </c>
      <c r="K120" s="4" t="s">
        <v>1174</v>
      </c>
      <c r="AL120" s="346">
        <v>5</v>
      </c>
      <c r="AM120" s="342" t="s">
        <v>5</v>
      </c>
      <c r="AN120" s="346">
        <v>5856</v>
      </c>
      <c r="AO120" s="342" t="s">
        <v>450</v>
      </c>
      <c r="AP120" t="s">
        <v>1175</v>
      </c>
      <c r="AQ120">
        <v>5856</v>
      </c>
      <c r="AR120" s="350">
        <v>99.06</v>
      </c>
      <c r="AS120" s="350">
        <v>99.14</v>
      </c>
      <c r="AT120" s="350">
        <v>98.92</v>
      </c>
    </row>
    <row r="121" spans="5:46">
      <c r="E121" s="4" t="s">
        <v>1176</v>
      </c>
      <c r="K121" s="4" t="s">
        <v>1177</v>
      </c>
      <c r="AL121" s="345">
        <v>5</v>
      </c>
      <c r="AM121" s="341" t="s">
        <v>5</v>
      </c>
      <c r="AN121" s="345">
        <v>5858</v>
      </c>
      <c r="AO121" s="341" t="s">
        <v>1176</v>
      </c>
      <c r="AP121" t="s">
        <v>1178</v>
      </c>
      <c r="AQ121">
        <v>5858</v>
      </c>
      <c r="AR121" s="350">
        <v>97.82</v>
      </c>
      <c r="AS121" s="350">
        <v>99.16</v>
      </c>
      <c r="AT121" s="350">
        <v>94.74</v>
      </c>
    </row>
    <row r="122" spans="5:46">
      <c r="E122" s="4" t="s">
        <v>1133</v>
      </c>
      <c r="K122" s="4" t="s">
        <v>1179</v>
      </c>
      <c r="AL122" s="346">
        <v>5</v>
      </c>
      <c r="AM122" s="342" t="s">
        <v>5</v>
      </c>
      <c r="AN122" s="346">
        <v>5861</v>
      </c>
      <c r="AO122" s="342" t="s">
        <v>1133</v>
      </c>
      <c r="AP122" t="s">
        <v>1180</v>
      </c>
      <c r="AQ122">
        <v>5861</v>
      </c>
      <c r="AR122" s="350">
        <v>99.33</v>
      </c>
      <c r="AS122" s="350">
        <v>99.65</v>
      </c>
      <c r="AT122" s="350">
        <v>99.04</v>
      </c>
    </row>
    <row r="123" spans="5:46">
      <c r="E123" s="4" t="s">
        <v>1181</v>
      </c>
      <c r="K123" s="4" t="s">
        <v>1182</v>
      </c>
      <c r="AL123" s="345">
        <v>5</v>
      </c>
      <c r="AM123" s="341" t="s">
        <v>5</v>
      </c>
      <c r="AN123" s="345">
        <v>5873</v>
      </c>
      <c r="AO123" s="341" t="s">
        <v>1181</v>
      </c>
      <c r="AP123" t="s">
        <v>1183</v>
      </c>
      <c r="AQ123">
        <v>5873</v>
      </c>
      <c r="AR123" s="350">
        <v>87.01</v>
      </c>
      <c r="AS123" s="350">
        <v>97.55</v>
      </c>
      <c r="AT123" s="350">
        <v>79.64</v>
      </c>
    </row>
    <row r="124" spans="5:46">
      <c r="E124" s="4" t="s">
        <v>1184</v>
      </c>
      <c r="K124" s="4" t="s">
        <v>1185</v>
      </c>
      <c r="AL124" s="346">
        <v>5</v>
      </c>
      <c r="AM124" s="342" t="s">
        <v>5</v>
      </c>
      <c r="AN124" s="346">
        <v>5885</v>
      </c>
      <c r="AO124" s="342" t="s">
        <v>1184</v>
      </c>
      <c r="AP124" t="s">
        <v>1186</v>
      </c>
      <c r="AQ124">
        <v>5885</v>
      </c>
      <c r="AR124" s="350">
        <v>95.07</v>
      </c>
      <c r="AS124" s="350">
        <v>99.54</v>
      </c>
      <c r="AT124" s="350">
        <v>90.62</v>
      </c>
    </row>
    <row r="125" spans="5:46">
      <c r="E125" s="4" t="s">
        <v>1187</v>
      </c>
      <c r="K125" s="4" t="s">
        <v>1188</v>
      </c>
      <c r="AL125" s="345">
        <v>5</v>
      </c>
      <c r="AM125" s="341" t="s">
        <v>5</v>
      </c>
      <c r="AN125" s="345">
        <v>5887</v>
      </c>
      <c r="AO125" s="341" t="s">
        <v>1187</v>
      </c>
      <c r="AP125" t="s">
        <v>1189</v>
      </c>
      <c r="AQ125">
        <v>5887</v>
      </c>
      <c r="AR125" s="350">
        <v>99.09</v>
      </c>
      <c r="AS125" s="350">
        <v>99.5</v>
      </c>
      <c r="AT125" s="350">
        <v>97.91</v>
      </c>
    </row>
    <row r="126" spans="5:46">
      <c r="E126" s="4" t="s">
        <v>1190</v>
      </c>
      <c r="K126" s="4" t="s">
        <v>1191</v>
      </c>
      <c r="AL126" s="346">
        <v>5</v>
      </c>
      <c r="AM126" s="342" t="s">
        <v>5</v>
      </c>
      <c r="AN126" s="346">
        <v>5890</v>
      </c>
      <c r="AO126" s="342" t="s">
        <v>1190</v>
      </c>
      <c r="AP126" t="s">
        <v>1192</v>
      </c>
      <c r="AQ126">
        <v>5890</v>
      </c>
      <c r="AR126" s="350">
        <v>96.9</v>
      </c>
      <c r="AS126" s="350">
        <v>99.58</v>
      </c>
      <c r="AT126" s="350">
        <v>95.5</v>
      </c>
    </row>
    <row r="127" spans="5:46">
      <c r="E127" s="4" t="s">
        <v>1193</v>
      </c>
      <c r="AL127" s="345">
        <v>5</v>
      </c>
      <c r="AM127" s="341" t="s">
        <v>5</v>
      </c>
      <c r="AN127" s="345">
        <v>5893</v>
      </c>
      <c r="AO127" s="341" t="s">
        <v>1193</v>
      </c>
      <c r="AP127" t="s">
        <v>1194</v>
      </c>
      <c r="AQ127">
        <v>5893</v>
      </c>
      <c r="AR127" s="350">
        <v>96.53</v>
      </c>
      <c r="AS127" s="350">
        <v>98.93</v>
      </c>
      <c r="AT127" s="350">
        <v>93.6</v>
      </c>
    </row>
    <row r="128" spans="5:46">
      <c r="E128" s="4" t="s">
        <v>1195</v>
      </c>
      <c r="AL128" s="346">
        <v>5</v>
      </c>
      <c r="AM128" s="342" t="s">
        <v>5</v>
      </c>
      <c r="AN128" s="346">
        <v>5895</v>
      </c>
      <c r="AO128" s="342" t="s">
        <v>1195</v>
      </c>
      <c r="AP128" t="s">
        <v>1196</v>
      </c>
      <c r="AQ128">
        <v>5895</v>
      </c>
      <c r="AR128" s="350">
        <v>90.34</v>
      </c>
      <c r="AS128" s="350">
        <v>98.95</v>
      </c>
      <c r="AT128" s="350">
        <v>83.14</v>
      </c>
    </row>
    <row r="129" spans="38:46">
      <c r="AL129" s="345">
        <v>8</v>
      </c>
      <c r="AM129" s="341" t="s">
        <v>8</v>
      </c>
      <c r="AN129" s="345">
        <v>8001</v>
      </c>
      <c r="AO129" s="341" t="s">
        <v>81</v>
      </c>
      <c r="AP129" t="s">
        <v>1197</v>
      </c>
      <c r="AQ129">
        <v>8001</v>
      </c>
      <c r="AR129" s="350">
        <v>99.57</v>
      </c>
      <c r="AS129" s="350">
        <v>99.58</v>
      </c>
      <c r="AT129" s="350">
        <v>82.19</v>
      </c>
    </row>
    <row r="130" spans="38:46">
      <c r="AL130" s="346">
        <v>8</v>
      </c>
      <c r="AM130" s="342" t="s">
        <v>8</v>
      </c>
      <c r="AN130" s="346">
        <v>8078</v>
      </c>
      <c r="AO130" s="342" t="s">
        <v>47</v>
      </c>
      <c r="AP130" t="s">
        <v>1198</v>
      </c>
      <c r="AQ130">
        <v>8078</v>
      </c>
      <c r="AR130" s="350">
        <v>98.18</v>
      </c>
      <c r="AS130" s="350">
        <v>98.41</v>
      </c>
      <c r="AT130" s="350">
        <v>97.03</v>
      </c>
    </row>
    <row r="131" spans="38:46">
      <c r="AL131" s="345">
        <v>8</v>
      </c>
      <c r="AM131" s="341" t="s">
        <v>8</v>
      </c>
      <c r="AN131" s="345">
        <v>8137</v>
      </c>
      <c r="AO131" s="341" t="s">
        <v>109</v>
      </c>
      <c r="AP131" t="s">
        <v>1199</v>
      </c>
      <c r="AQ131">
        <v>8137</v>
      </c>
      <c r="AR131" s="350">
        <v>86.1</v>
      </c>
      <c r="AS131" s="350">
        <v>87.05</v>
      </c>
      <c r="AT131" s="350">
        <v>79.510000000000005</v>
      </c>
    </row>
    <row r="132" spans="38:46">
      <c r="AL132" s="346">
        <v>8</v>
      </c>
      <c r="AM132" s="342" t="s">
        <v>8</v>
      </c>
      <c r="AN132" s="346">
        <v>8141</v>
      </c>
      <c r="AO132" s="342" t="s">
        <v>140</v>
      </c>
      <c r="AP132" t="s">
        <v>1200</v>
      </c>
      <c r="AQ132">
        <v>8141</v>
      </c>
      <c r="AR132" s="350">
        <v>96.6</v>
      </c>
      <c r="AS132" s="350">
        <v>98.57</v>
      </c>
      <c r="AT132" s="350">
        <v>91.15</v>
      </c>
    </row>
    <row r="133" spans="38:46">
      <c r="AL133" s="345">
        <v>8</v>
      </c>
      <c r="AM133" s="341" t="s">
        <v>8</v>
      </c>
      <c r="AN133" s="345">
        <v>8296</v>
      </c>
      <c r="AO133" s="341" t="s">
        <v>170</v>
      </c>
      <c r="AP133" t="s">
        <v>1201</v>
      </c>
      <c r="AQ133">
        <v>8296</v>
      </c>
      <c r="AR133" s="350">
        <v>99.08</v>
      </c>
      <c r="AS133" s="350">
        <v>99.55</v>
      </c>
      <c r="AT133" s="350">
        <v>90.73</v>
      </c>
    </row>
    <row r="134" spans="38:46">
      <c r="AL134" s="346">
        <v>8</v>
      </c>
      <c r="AM134" s="342" t="s">
        <v>8</v>
      </c>
      <c r="AN134" s="346">
        <v>8372</v>
      </c>
      <c r="AO134" s="342" t="s">
        <v>198</v>
      </c>
      <c r="AP134" t="s">
        <v>1202</v>
      </c>
      <c r="AQ134">
        <v>8372</v>
      </c>
      <c r="AR134" s="350">
        <v>96.74</v>
      </c>
      <c r="AS134" s="350">
        <v>97.62</v>
      </c>
      <c r="AT134" s="350">
        <v>95.19</v>
      </c>
    </row>
    <row r="135" spans="38:46">
      <c r="AL135" s="345">
        <v>8</v>
      </c>
      <c r="AM135" s="341" t="s">
        <v>8</v>
      </c>
      <c r="AN135" s="345">
        <v>8421</v>
      </c>
      <c r="AO135" s="341" t="s">
        <v>227</v>
      </c>
      <c r="AP135" t="s">
        <v>1203</v>
      </c>
      <c r="AQ135">
        <v>8421</v>
      </c>
      <c r="AR135" s="350">
        <v>97.35</v>
      </c>
      <c r="AS135" s="350">
        <v>98.32</v>
      </c>
      <c r="AT135" s="350">
        <v>96.35</v>
      </c>
    </row>
    <row r="136" spans="38:46">
      <c r="AL136" s="346">
        <v>8</v>
      </c>
      <c r="AM136" s="342" t="s">
        <v>8</v>
      </c>
      <c r="AN136" s="346">
        <v>8433</v>
      </c>
      <c r="AO136" s="342" t="s">
        <v>254</v>
      </c>
      <c r="AP136" t="s">
        <v>1204</v>
      </c>
      <c r="AQ136">
        <v>8433</v>
      </c>
      <c r="AR136" s="350">
        <v>99.18</v>
      </c>
      <c r="AS136" s="350">
        <v>99.53</v>
      </c>
      <c r="AT136" s="350">
        <v>93.7</v>
      </c>
    </row>
    <row r="137" spans="38:46">
      <c r="AL137" s="345">
        <v>8</v>
      </c>
      <c r="AM137" s="341" t="s">
        <v>8</v>
      </c>
      <c r="AN137" s="345">
        <v>8436</v>
      </c>
      <c r="AO137" s="341" t="s">
        <v>280</v>
      </c>
      <c r="AP137" t="s">
        <v>1205</v>
      </c>
      <c r="AQ137">
        <v>8436</v>
      </c>
      <c r="AR137" s="350">
        <v>96.26</v>
      </c>
      <c r="AS137" s="350">
        <v>98.96</v>
      </c>
      <c r="AT137" s="350">
        <v>78.44</v>
      </c>
    </row>
    <row r="138" spans="38:46">
      <c r="AL138" s="346">
        <v>8</v>
      </c>
      <c r="AM138" s="342" t="s">
        <v>8</v>
      </c>
      <c r="AN138" s="346">
        <v>8520</v>
      </c>
      <c r="AO138" s="342" t="s">
        <v>306</v>
      </c>
      <c r="AP138" t="s">
        <v>1206</v>
      </c>
      <c r="AQ138">
        <v>8520</v>
      </c>
      <c r="AR138" s="350">
        <v>96.95</v>
      </c>
      <c r="AS138" s="350">
        <v>98.82</v>
      </c>
      <c r="AT138" s="350">
        <v>63.5</v>
      </c>
    </row>
    <row r="139" spans="38:46">
      <c r="AL139" s="345">
        <v>8</v>
      </c>
      <c r="AM139" s="341" t="s">
        <v>8</v>
      </c>
      <c r="AN139" s="345">
        <v>8549</v>
      </c>
      <c r="AO139" s="341" t="s">
        <v>330</v>
      </c>
      <c r="AP139" t="s">
        <v>1207</v>
      </c>
      <c r="AQ139">
        <v>8549</v>
      </c>
      <c r="AR139" s="350">
        <v>93.42</v>
      </c>
      <c r="AS139" s="350">
        <v>96.83</v>
      </c>
      <c r="AT139" s="350">
        <v>90.65</v>
      </c>
    </row>
    <row r="140" spans="38:46">
      <c r="AL140" s="346">
        <v>8</v>
      </c>
      <c r="AM140" s="342" t="s">
        <v>8</v>
      </c>
      <c r="AN140" s="346">
        <v>8558</v>
      </c>
      <c r="AO140" s="342" t="s">
        <v>356</v>
      </c>
      <c r="AP140" t="s">
        <v>1208</v>
      </c>
      <c r="AQ140">
        <v>8558</v>
      </c>
      <c r="AR140" s="350">
        <v>97.48</v>
      </c>
      <c r="AS140" s="350">
        <v>98.98</v>
      </c>
      <c r="AT140" s="350">
        <v>90.21</v>
      </c>
    </row>
    <row r="141" spans="38:46">
      <c r="AL141" s="345">
        <v>8</v>
      </c>
      <c r="AM141" s="341" t="s">
        <v>8</v>
      </c>
      <c r="AN141" s="345">
        <v>8560</v>
      </c>
      <c r="AO141" s="341" t="s">
        <v>377</v>
      </c>
      <c r="AP141" t="s">
        <v>1209</v>
      </c>
      <c r="AQ141">
        <v>8560</v>
      </c>
      <c r="AR141" s="350">
        <v>95.9</v>
      </c>
      <c r="AS141" s="350">
        <v>98.79</v>
      </c>
      <c r="AT141" s="350">
        <v>91.91</v>
      </c>
    </row>
    <row r="142" spans="38:46">
      <c r="AL142" s="346">
        <v>8</v>
      </c>
      <c r="AM142" s="342" t="s">
        <v>8</v>
      </c>
      <c r="AN142" s="346">
        <v>8573</v>
      </c>
      <c r="AO142" s="342" t="s">
        <v>237</v>
      </c>
      <c r="AP142" t="s">
        <v>1210</v>
      </c>
      <c r="AQ142">
        <v>8573</v>
      </c>
      <c r="AR142" s="350">
        <v>98.34</v>
      </c>
      <c r="AS142" s="350">
        <v>99.08</v>
      </c>
      <c r="AT142" s="350">
        <v>93.3</v>
      </c>
    </row>
    <row r="143" spans="38:46">
      <c r="AL143" s="345">
        <v>8</v>
      </c>
      <c r="AM143" s="341" t="s">
        <v>8</v>
      </c>
      <c r="AN143" s="345">
        <v>8606</v>
      </c>
      <c r="AO143" s="341" t="s">
        <v>423</v>
      </c>
      <c r="AP143" t="s">
        <v>1211</v>
      </c>
      <c r="AQ143">
        <v>8606</v>
      </c>
      <c r="AR143" s="350">
        <v>99.09</v>
      </c>
      <c r="AS143" s="350">
        <v>99.63</v>
      </c>
      <c r="AT143" s="350">
        <v>97.97</v>
      </c>
    </row>
    <row r="144" spans="38:46">
      <c r="AL144" s="346">
        <v>8</v>
      </c>
      <c r="AM144" s="342" t="s">
        <v>8</v>
      </c>
      <c r="AN144" s="346">
        <v>8634</v>
      </c>
      <c r="AO144" s="342" t="s">
        <v>446</v>
      </c>
      <c r="AP144" t="s">
        <v>1212</v>
      </c>
      <c r="AQ144">
        <v>8634</v>
      </c>
      <c r="AR144" s="350">
        <v>98.52</v>
      </c>
      <c r="AS144" s="350">
        <v>99.24</v>
      </c>
      <c r="AT144" s="350">
        <v>86.04</v>
      </c>
    </row>
    <row r="145" spans="38:46">
      <c r="AL145" s="345">
        <v>8</v>
      </c>
      <c r="AM145" s="341" t="s">
        <v>8</v>
      </c>
      <c r="AN145" s="345">
        <v>8638</v>
      </c>
      <c r="AO145" s="341" t="s">
        <v>359</v>
      </c>
      <c r="AP145" t="s">
        <v>1213</v>
      </c>
      <c r="AQ145">
        <v>8638</v>
      </c>
      <c r="AR145" s="350">
        <v>95.85</v>
      </c>
      <c r="AS145" s="350">
        <v>97</v>
      </c>
      <c r="AT145" s="350">
        <v>92.32</v>
      </c>
    </row>
    <row r="146" spans="38:46">
      <c r="AL146" s="346">
        <v>8</v>
      </c>
      <c r="AM146" s="342" t="s">
        <v>8</v>
      </c>
      <c r="AN146" s="346">
        <v>8675</v>
      </c>
      <c r="AO146" s="342" t="s">
        <v>488</v>
      </c>
      <c r="AP146" t="s">
        <v>1214</v>
      </c>
      <c r="AQ146">
        <v>8675</v>
      </c>
      <c r="AR146" s="350">
        <v>97.09</v>
      </c>
      <c r="AS146" s="350">
        <v>98.13</v>
      </c>
      <c r="AT146" s="350">
        <v>89.71</v>
      </c>
    </row>
    <row r="147" spans="38:46">
      <c r="AL147" s="345">
        <v>8</v>
      </c>
      <c r="AM147" s="341" t="s">
        <v>8</v>
      </c>
      <c r="AN147" s="345">
        <v>8685</v>
      </c>
      <c r="AO147" s="341" t="s">
        <v>507</v>
      </c>
      <c r="AP147" t="s">
        <v>1215</v>
      </c>
      <c r="AQ147">
        <v>8685</v>
      </c>
      <c r="AR147" s="350">
        <v>98.04</v>
      </c>
      <c r="AS147" s="350">
        <v>99.58</v>
      </c>
      <c r="AT147" s="350">
        <v>70.959999999999994</v>
      </c>
    </row>
    <row r="148" spans="38:46">
      <c r="AL148" s="346">
        <v>8</v>
      </c>
      <c r="AM148" s="342" t="s">
        <v>8</v>
      </c>
      <c r="AN148" s="346">
        <v>8758</v>
      </c>
      <c r="AO148" s="342" t="s">
        <v>527</v>
      </c>
      <c r="AP148" t="s">
        <v>1216</v>
      </c>
      <c r="AQ148">
        <v>8758</v>
      </c>
      <c r="AR148" s="350">
        <v>99.48</v>
      </c>
      <c r="AS148" s="350">
        <v>99.49</v>
      </c>
      <c r="AT148" s="350">
        <v>92.76</v>
      </c>
    </row>
    <row r="149" spans="38:46">
      <c r="AL149" s="345">
        <v>8</v>
      </c>
      <c r="AM149" s="341" t="s">
        <v>8</v>
      </c>
      <c r="AN149" s="345">
        <v>8770</v>
      </c>
      <c r="AO149" s="341" t="s">
        <v>545</v>
      </c>
      <c r="AP149" t="s">
        <v>1217</v>
      </c>
      <c r="AQ149">
        <v>8770</v>
      </c>
      <c r="AR149" s="350">
        <v>94.96</v>
      </c>
      <c r="AS149" s="350">
        <v>97.75</v>
      </c>
      <c r="AT149" s="350">
        <v>43.31</v>
      </c>
    </row>
    <row r="150" spans="38:46">
      <c r="AL150" s="346">
        <v>8</v>
      </c>
      <c r="AM150" s="342" t="s">
        <v>8</v>
      </c>
      <c r="AN150" s="346">
        <v>8832</v>
      </c>
      <c r="AO150" s="342" t="s">
        <v>563</v>
      </c>
      <c r="AP150" t="s">
        <v>1218</v>
      </c>
      <c r="AQ150">
        <v>8832</v>
      </c>
      <c r="AR150" s="350">
        <v>91.38</v>
      </c>
      <c r="AS150" s="350">
        <v>95.94</v>
      </c>
      <c r="AT150" s="350">
        <v>87.31</v>
      </c>
    </row>
    <row r="151" spans="38:46">
      <c r="AL151" s="345">
        <v>8</v>
      </c>
      <c r="AM151" s="341" t="s">
        <v>8</v>
      </c>
      <c r="AN151" s="345">
        <v>8849</v>
      </c>
      <c r="AO151" s="341" t="s">
        <v>583</v>
      </c>
      <c r="AP151" t="s">
        <v>1219</v>
      </c>
      <c r="AQ151">
        <v>8849</v>
      </c>
      <c r="AR151" s="350">
        <v>95.17</v>
      </c>
      <c r="AS151" s="350">
        <v>98.4</v>
      </c>
      <c r="AT151" s="350">
        <v>63</v>
      </c>
    </row>
    <row r="152" spans="38:46">
      <c r="AL152" s="346">
        <v>11</v>
      </c>
      <c r="AM152" s="342" t="s">
        <v>48</v>
      </c>
      <c r="AN152" s="346">
        <v>11001</v>
      </c>
      <c r="AO152" s="342" t="s">
        <v>48</v>
      </c>
      <c r="AP152" t="s">
        <v>1220</v>
      </c>
      <c r="AQ152">
        <v>11001</v>
      </c>
      <c r="AR152" s="350">
        <v>99.75</v>
      </c>
      <c r="AS152" s="350">
        <v>99.76</v>
      </c>
      <c r="AT152" s="350">
        <v>96.1</v>
      </c>
    </row>
    <row r="153" spans="38:46">
      <c r="AL153" s="345">
        <v>13</v>
      </c>
      <c r="AM153" s="341" t="s">
        <v>10</v>
      </c>
      <c r="AN153" s="345">
        <v>13001</v>
      </c>
      <c r="AO153" s="341" t="s">
        <v>281</v>
      </c>
      <c r="AP153" t="s">
        <v>1221</v>
      </c>
      <c r="AQ153">
        <v>13001</v>
      </c>
      <c r="AR153" s="350">
        <v>98.71</v>
      </c>
      <c r="AS153" s="350">
        <v>98.95</v>
      </c>
      <c r="AT153" s="350">
        <v>96.35</v>
      </c>
    </row>
    <row r="154" spans="38:46">
      <c r="AL154" s="346">
        <v>13</v>
      </c>
      <c r="AM154" s="342" t="s">
        <v>10</v>
      </c>
      <c r="AN154" s="346">
        <v>13006</v>
      </c>
      <c r="AO154" s="342" t="s">
        <v>49</v>
      </c>
      <c r="AP154" t="s">
        <v>1222</v>
      </c>
      <c r="AQ154">
        <v>13006</v>
      </c>
      <c r="AR154" s="350">
        <v>92.35</v>
      </c>
      <c r="AS154" s="350">
        <v>99.41</v>
      </c>
      <c r="AT154" s="350">
        <v>90.24</v>
      </c>
    </row>
    <row r="155" spans="38:46">
      <c r="AL155" s="345">
        <v>13</v>
      </c>
      <c r="AM155" s="341" t="s">
        <v>10</v>
      </c>
      <c r="AN155" s="345">
        <v>13030</v>
      </c>
      <c r="AO155" s="341" t="s">
        <v>82</v>
      </c>
      <c r="AP155" t="s">
        <v>1223</v>
      </c>
      <c r="AQ155">
        <v>13030</v>
      </c>
      <c r="AR155" s="350">
        <v>85.96</v>
      </c>
      <c r="AS155" s="350">
        <v>99.03</v>
      </c>
      <c r="AT155" s="350">
        <v>76.47</v>
      </c>
    </row>
    <row r="156" spans="38:46">
      <c r="AL156" s="346">
        <v>13</v>
      </c>
      <c r="AM156" s="342" t="s">
        <v>10</v>
      </c>
      <c r="AN156" s="346">
        <v>13042</v>
      </c>
      <c r="AO156" s="342" t="s">
        <v>110</v>
      </c>
      <c r="AP156" t="s">
        <v>1224</v>
      </c>
      <c r="AQ156">
        <v>13042</v>
      </c>
      <c r="AR156" s="350">
        <v>81.98</v>
      </c>
      <c r="AS156" s="350">
        <v>97.3</v>
      </c>
      <c r="AT156" s="350">
        <v>58.76</v>
      </c>
    </row>
    <row r="157" spans="38:46">
      <c r="AL157" s="345">
        <v>13</v>
      </c>
      <c r="AM157" s="341" t="s">
        <v>10</v>
      </c>
      <c r="AN157" s="345">
        <v>13052</v>
      </c>
      <c r="AO157" s="341" t="s">
        <v>141</v>
      </c>
      <c r="AP157" t="s">
        <v>1225</v>
      </c>
      <c r="AQ157">
        <v>13052</v>
      </c>
      <c r="AR157" s="350">
        <v>94.74</v>
      </c>
      <c r="AS157" s="350">
        <v>95.05</v>
      </c>
      <c r="AT157" s="350">
        <v>93.52</v>
      </c>
    </row>
    <row r="158" spans="38:46">
      <c r="AL158" s="346">
        <v>13</v>
      </c>
      <c r="AM158" s="342" t="s">
        <v>10</v>
      </c>
      <c r="AN158" s="346">
        <v>13062</v>
      </c>
      <c r="AO158" s="342" t="s">
        <v>171</v>
      </c>
      <c r="AP158" t="s">
        <v>1226</v>
      </c>
      <c r="AQ158">
        <v>13062</v>
      </c>
      <c r="AR158" s="350">
        <v>95.96</v>
      </c>
      <c r="AS158" s="350">
        <v>99.56</v>
      </c>
      <c r="AT158" s="350">
        <v>91.14</v>
      </c>
    </row>
    <row r="159" spans="38:46">
      <c r="AL159" s="345">
        <v>13</v>
      </c>
      <c r="AM159" s="341" t="s">
        <v>10</v>
      </c>
      <c r="AN159" s="345">
        <v>13074</v>
      </c>
      <c r="AO159" s="341" t="s">
        <v>199</v>
      </c>
      <c r="AP159" t="s">
        <v>1227</v>
      </c>
      <c r="AQ159">
        <v>13074</v>
      </c>
      <c r="AR159" s="350">
        <v>85.67</v>
      </c>
      <c r="AS159" s="350">
        <v>97.59</v>
      </c>
      <c r="AT159" s="350">
        <v>77.75</v>
      </c>
    </row>
    <row r="160" spans="38:46">
      <c r="AL160" s="346">
        <v>13</v>
      </c>
      <c r="AM160" s="342" t="s">
        <v>10</v>
      </c>
      <c r="AN160" s="346">
        <v>13140</v>
      </c>
      <c r="AO160" s="342" t="s">
        <v>60</v>
      </c>
      <c r="AP160" t="s">
        <v>1228</v>
      </c>
      <c r="AQ160">
        <v>13140</v>
      </c>
      <c r="AR160" s="350">
        <v>93.72</v>
      </c>
      <c r="AS160" s="350">
        <v>96.3</v>
      </c>
      <c r="AT160" s="350">
        <v>90.53</v>
      </c>
    </row>
    <row r="161" spans="38:46">
      <c r="AL161" s="345">
        <v>13</v>
      </c>
      <c r="AM161" s="341" t="s">
        <v>10</v>
      </c>
      <c r="AN161" s="345">
        <v>13160</v>
      </c>
      <c r="AO161" s="341" t="s">
        <v>255</v>
      </c>
      <c r="AP161" t="s">
        <v>1229</v>
      </c>
      <c r="AQ161">
        <v>13160</v>
      </c>
      <c r="AR161" s="350">
        <v>76.73</v>
      </c>
      <c r="AS161" s="350">
        <v>98.29</v>
      </c>
      <c r="AT161" s="350">
        <v>53.88</v>
      </c>
    </row>
    <row r="162" spans="38:46">
      <c r="AL162" s="346">
        <v>13</v>
      </c>
      <c r="AM162" s="342" t="s">
        <v>10</v>
      </c>
      <c r="AN162" s="346">
        <v>13188</v>
      </c>
      <c r="AO162" s="342" t="s">
        <v>307</v>
      </c>
      <c r="AP162" t="s">
        <v>1230</v>
      </c>
      <c r="AQ162">
        <v>13188</v>
      </c>
      <c r="AR162" s="350">
        <v>94.98</v>
      </c>
      <c r="AS162" s="350">
        <v>96.89</v>
      </c>
      <c r="AT162" s="350">
        <v>90.81</v>
      </c>
    </row>
    <row r="163" spans="38:46">
      <c r="AL163" s="345">
        <v>13</v>
      </c>
      <c r="AM163" s="341" t="s">
        <v>10</v>
      </c>
      <c r="AN163" s="345">
        <v>13212</v>
      </c>
      <c r="AO163" s="341" t="s">
        <v>18</v>
      </c>
      <c r="AP163" t="s">
        <v>1231</v>
      </c>
      <c r="AQ163">
        <v>13212</v>
      </c>
      <c r="AR163" s="350">
        <v>94.62</v>
      </c>
      <c r="AS163" s="350">
        <v>99.25</v>
      </c>
      <c r="AT163" s="350">
        <v>92.8</v>
      </c>
    </row>
    <row r="164" spans="38:46">
      <c r="AL164" s="346">
        <v>13</v>
      </c>
      <c r="AM164" s="342" t="s">
        <v>10</v>
      </c>
      <c r="AN164" s="346">
        <v>13222</v>
      </c>
      <c r="AO164" s="342" t="s">
        <v>331</v>
      </c>
      <c r="AP164" t="s">
        <v>1232</v>
      </c>
      <c r="AQ164">
        <v>13222</v>
      </c>
      <c r="AR164" s="350">
        <v>95.48</v>
      </c>
      <c r="AS164" s="350">
        <v>98.13</v>
      </c>
      <c r="AT164" s="350">
        <v>83.6</v>
      </c>
    </row>
    <row r="165" spans="38:46">
      <c r="AL165" s="345">
        <v>13</v>
      </c>
      <c r="AM165" s="341" t="s">
        <v>10</v>
      </c>
      <c r="AN165" s="345">
        <v>13244</v>
      </c>
      <c r="AO165" s="341" t="s">
        <v>378</v>
      </c>
      <c r="AP165" t="s">
        <v>1233</v>
      </c>
      <c r="AQ165">
        <v>13244</v>
      </c>
      <c r="AR165" s="350">
        <v>89.17</v>
      </c>
      <c r="AS165" s="350">
        <v>99.29</v>
      </c>
      <c r="AT165" s="350">
        <v>62.66</v>
      </c>
    </row>
    <row r="166" spans="38:46">
      <c r="AL166" s="346">
        <v>13</v>
      </c>
      <c r="AM166" s="342" t="s">
        <v>10</v>
      </c>
      <c r="AN166" s="346">
        <v>13248</v>
      </c>
      <c r="AO166" s="342" t="s">
        <v>401</v>
      </c>
      <c r="AP166" t="s">
        <v>1234</v>
      </c>
      <c r="AQ166">
        <v>13248</v>
      </c>
      <c r="AR166" s="350">
        <v>96.38</v>
      </c>
      <c r="AS166" s="350">
        <v>99.41</v>
      </c>
      <c r="AT166" s="350">
        <v>92.97</v>
      </c>
    </row>
    <row r="167" spans="38:46">
      <c r="AL167" s="345">
        <v>13</v>
      </c>
      <c r="AM167" s="341" t="s">
        <v>10</v>
      </c>
      <c r="AN167" s="345">
        <v>13268</v>
      </c>
      <c r="AO167" s="341" t="s">
        <v>424</v>
      </c>
      <c r="AP167" t="s">
        <v>1235</v>
      </c>
      <c r="AQ167">
        <v>13268</v>
      </c>
      <c r="AR167" s="350">
        <v>94.41</v>
      </c>
      <c r="AS167" s="350">
        <v>100</v>
      </c>
      <c r="AT167" s="350">
        <v>90.44</v>
      </c>
    </row>
    <row r="168" spans="38:46">
      <c r="AL168" s="346">
        <v>13</v>
      </c>
      <c r="AM168" s="342" t="s">
        <v>10</v>
      </c>
      <c r="AN168" s="346">
        <v>13300</v>
      </c>
      <c r="AO168" s="342" t="s">
        <v>447</v>
      </c>
      <c r="AP168" t="s">
        <v>1236</v>
      </c>
      <c r="AQ168">
        <v>13300</v>
      </c>
      <c r="AR168" s="350">
        <v>96.59</v>
      </c>
      <c r="AS168" s="350">
        <v>99.15</v>
      </c>
      <c r="AT168" s="350">
        <v>95.59</v>
      </c>
    </row>
    <row r="169" spans="38:46">
      <c r="AL169" s="345">
        <v>13</v>
      </c>
      <c r="AM169" s="341" t="s">
        <v>10</v>
      </c>
      <c r="AN169" s="345">
        <v>13430</v>
      </c>
      <c r="AO169" s="341" t="s">
        <v>468</v>
      </c>
      <c r="AP169" t="s">
        <v>1237</v>
      </c>
      <c r="AQ169">
        <v>13430</v>
      </c>
      <c r="AR169" s="350">
        <v>96.7</v>
      </c>
      <c r="AS169" s="350">
        <v>98.69</v>
      </c>
      <c r="AT169" s="350">
        <v>92.23</v>
      </c>
    </row>
    <row r="170" spans="38:46">
      <c r="AL170" s="346">
        <v>13</v>
      </c>
      <c r="AM170" s="342" t="s">
        <v>10</v>
      </c>
      <c r="AN170" s="346">
        <v>13433</v>
      </c>
      <c r="AO170" s="342" t="s">
        <v>489</v>
      </c>
      <c r="AP170" t="s">
        <v>1238</v>
      </c>
      <c r="AQ170">
        <v>13433</v>
      </c>
      <c r="AR170" s="350">
        <v>94.87</v>
      </c>
      <c r="AS170" s="350">
        <v>97.27</v>
      </c>
      <c r="AT170" s="350">
        <v>93.43</v>
      </c>
    </row>
    <row r="171" spans="38:46">
      <c r="AL171" s="345">
        <v>13</v>
      </c>
      <c r="AM171" s="341" t="s">
        <v>10</v>
      </c>
      <c r="AN171" s="345">
        <v>13440</v>
      </c>
      <c r="AO171" s="341" t="s">
        <v>508</v>
      </c>
      <c r="AP171" t="s">
        <v>1239</v>
      </c>
      <c r="AQ171">
        <v>13440</v>
      </c>
      <c r="AR171" s="350">
        <v>88.41</v>
      </c>
      <c r="AS171" s="350">
        <v>95.62</v>
      </c>
      <c r="AT171" s="350">
        <v>86.64</v>
      </c>
    </row>
    <row r="172" spans="38:46">
      <c r="AL172" s="346">
        <v>13</v>
      </c>
      <c r="AM172" s="342" t="s">
        <v>10</v>
      </c>
      <c r="AN172" s="346">
        <v>13442</v>
      </c>
      <c r="AO172" s="342" t="s">
        <v>528</v>
      </c>
      <c r="AP172" t="s">
        <v>1240</v>
      </c>
      <c r="AQ172">
        <v>13442</v>
      </c>
      <c r="AR172" s="350">
        <v>94.64</v>
      </c>
      <c r="AS172" s="350">
        <v>96.5</v>
      </c>
      <c r="AT172" s="350">
        <v>93.01</v>
      </c>
    </row>
    <row r="173" spans="38:46">
      <c r="AL173" s="345">
        <v>13</v>
      </c>
      <c r="AM173" s="341" t="s">
        <v>10</v>
      </c>
      <c r="AN173" s="345">
        <v>13458</v>
      </c>
      <c r="AO173" s="341" t="s">
        <v>546</v>
      </c>
      <c r="AP173" t="s">
        <v>1241</v>
      </c>
      <c r="AQ173">
        <v>13458</v>
      </c>
      <c r="AR173" s="350">
        <v>57.77</v>
      </c>
      <c r="AS173" s="350">
        <v>95.25</v>
      </c>
      <c r="AT173" s="350">
        <v>46.15</v>
      </c>
    </row>
    <row r="174" spans="38:46">
      <c r="AL174" s="346">
        <v>13</v>
      </c>
      <c r="AM174" s="342" t="s">
        <v>10</v>
      </c>
      <c r="AN174" s="346">
        <v>13468</v>
      </c>
      <c r="AO174" s="342" t="s">
        <v>768</v>
      </c>
      <c r="AP174" t="s">
        <v>1242</v>
      </c>
      <c r="AQ174">
        <v>13468</v>
      </c>
      <c r="AR174" s="350">
        <v>99.09</v>
      </c>
      <c r="AS174" s="350">
        <v>99.61</v>
      </c>
      <c r="AT174" s="350">
        <v>98.46</v>
      </c>
    </row>
    <row r="175" spans="38:46">
      <c r="AL175" s="345">
        <v>13</v>
      </c>
      <c r="AM175" s="341" t="s">
        <v>10</v>
      </c>
      <c r="AN175" s="345">
        <v>13473</v>
      </c>
      <c r="AO175" s="341" t="s">
        <v>549</v>
      </c>
      <c r="AP175" t="s">
        <v>1243</v>
      </c>
      <c r="AQ175">
        <v>13473</v>
      </c>
      <c r="AR175" s="350">
        <v>61.39</v>
      </c>
      <c r="AS175" s="350">
        <v>89.58</v>
      </c>
      <c r="AT175" s="350">
        <v>48.84</v>
      </c>
    </row>
    <row r="176" spans="38:46">
      <c r="AL176" s="346">
        <v>13</v>
      </c>
      <c r="AM176" s="342" t="s">
        <v>10</v>
      </c>
      <c r="AN176" s="346">
        <v>13490</v>
      </c>
      <c r="AO176" s="342" t="s">
        <v>584</v>
      </c>
      <c r="AP176" t="s">
        <v>1244</v>
      </c>
      <c r="AQ176">
        <v>13490</v>
      </c>
      <c r="AR176" s="350">
        <v>55.43</v>
      </c>
      <c r="AS176" s="350">
        <v>97.18</v>
      </c>
      <c r="AT176" s="350">
        <v>45.18</v>
      </c>
    </row>
    <row r="177" spans="38:46">
      <c r="AL177" s="345">
        <v>13</v>
      </c>
      <c r="AM177" s="341" t="s">
        <v>10</v>
      </c>
      <c r="AN177" s="345">
        <v>13549</v>
      </c>
      <c r="AO177" s="341" t="s">
        <v>600</v>
      </c>
      <c r="AP177" t="s">
        <v>1245</v>
      </c>
      <c r="AQ177">
        <v>13549</v>
      </c>
      <c r="AR177" s="350">
        <v>80.37</v>
      </c>
      <c r="AS177" s="350">
        <v>95.88</v>
      </c>
      <c r="AT177" s="350">
        <v>77.13</v>
      </c>
    </row>
    <row r="178" spans="38:46">
      <c r="AL178" s="346">
        <v>13</v>
      </c>
      <c r="AM178" s="342" t="s">
        <v>10</v>
      </c>
      <c r="AN178" s="346">
        <v>13580</v>
      </c>
      <c r="AO178" s="342" t="s">
        <v>618</v>
      </c>
      <c r="AP178" t="s">
        <v>1246</v>
      </c>
      <c r="AQ178">
        <v>13580</v>
      </c>
      <c r="AR178" s="350">
        <v>92.85</v>
      </c>
      <c r="AS178" s="350">
        <v>99.28</v>
      </c>
      <c r="AT178" s="350">
        <v>83.73</v>
      </c>
    </row>
    <row r="179" spans="38:46">
      <c r="AL179" s="345">
        <v>13</v>
      </c>
      <c r="AM179" s="341" t="s">
        <v>10</v>
      </c>
      <c r="AN179" s="345">
        <v>13600</v>
      </c>
      <c r="AO179" s="341" t="s">
        <v>635</v>
      </c>
      <c r="AP179" t="s">
        <v>1247</v>
      </c>
      <c r="AQ179">
        <v>13600</v>
      </c>
      <c r="AR179" s="350">
        <v>71.14</v>
      </c>
      <c r="AS179" s="350">
        <v>96.8</v>
      </c>
      <c r="AT179" s="350">
        <v>46.29</v>
      </c>
    </row>
    <row r="180" spans="38:46">
      <c r="AL180" s="346">
        <v>13</v>
      </c>
      <c r="AM180" s="342" t="s">
        <v>10</v>
      </c>
      <c r="AN180" s="346">
        <v>13620</v>
      </c>
      <c r="AO180" s="342" t="s">
        <v>651</v>
      </c>
      <c r="AP180" t="s">
        <v>1248</v>
      </c>
      <c r="AQ180">
        <v>13620</v>
      </c>
      <c r="AR180" s="350">
        <v>97.93</v>
      </c>
      <c r="AS180" s="350">
        <v>99.26</v>
      </c>
      <c r="AT180" s="350">
        <v>93.84</v>
      </c>
    </row>
    <row r="181" spans="38:46">
      <c r="AL181" s="345">
        <v>13</v>
      </c>
      <c r="AM181" s="341" t="s">
        <v>10</v>
      </c>
      <c r="AN181" s="345">
        <v>13647</v>
      </c>
      <c r="AO181" s="341" t="s">
        <v>667</v>
      </c>
      <c r="AP181" t="s">
        <v>1249</v>
      </c>
      <c r="AQ181">
        <v>13647</v>
      </c>
      <c r="AR181" s="350">
        <v>97.06</v>
      </c>
      <c r="AS181" s="350">
        <v>98.86</v>
      </c>
      <c r="AT181" s="350">
        <v>92.93</v>
      </c>
    </row>
    <row r="182" spans="38:46">
      <c r="AL182" s="346">
        <v>13</v>
      </c>
      <c r="AM182" s="342" t="s">
        <v>10</v>
      </c>
      <c r="AN182" s="346">
        <v>13650</v>
      </c>
      <c r="AO182" s="342" t="s">
        <v>681</v>
      </c>
      <c r="AP182" t="s">
        <v>1250</v>
      </c>
      <c r="AQ182">
        <v>13650</v>
      </c>
      <c r="AR182" s="350">
        <v>89.65</v>
      </c>
      <c r="AS182" s="350">
        <v>98.2</v>
      </c>
      <c r="AT182" s="350">
        <v>87.31</v>
      </c>
    </row>
    <row r="183" spans="38:46">
      <c r="AL183" s="345">
        <v>13</v>
      </c>
      <c r="AM183" s="341" t="s">
        <v>10</v>
      </c>
      <c r="AN183" s="345">
        <v>13654</v>
      </c>
      <c r="AO183" s="341" t="s">
        <v>697</v>
      </c>
      <c r="AP183" t="s">
        <v>1251</v>
      </c>
      <c r="AQ183">
        <v>13654</v>
      </c>
      <c r="AR183" s="350">
        <v>95.53</v>
      </c>
      <c r="AS183" s="350">
        <v>99.22</v>
      </c>
      <c r="AT183" s="350">
        <v>74.040000000000006</v>
      </c>
    </row>
    <row r="184" spans="38:46">
      <c r="AL184" s="346">
        <v>13</v>
      </c>
      <c r="AM184" s="342" t="s">
        <v>10</v>
      </c>
      <c r="AN184" s="346">
        <v>13655</v>
      </c>
      <c r="AO184" s="342" t="s">
        <v>712</v>
      </c>
      <c r="AP184" t="s">
        <v>1252</v>
      </c>
      <c r="AQ184">
        <v>13655</v>
      </c>
      <c r="AR184" s="350">
        <v>94.62</v>
      </c>
      <c r="AS184" s="350">
        <v>97.47</v>
      </c>
      <c r="AT184" s="350">
        <v>93.5</v>
      </c>
    </row>
    <row r="185" spans="38:46">
      <c r="AL185" s="345">
        <v>13</v>
      </c>
      <c r="AM185" s="341" t="s">
        <v>10</v>
      </c>
      <c r="AN185" s="345">
        <v>13657</v>
      </c>
      <c r="AO185" s="341" t="s">
        <v>723</v>
      </c>
      <c r="AP185" t="s">
        <v>1253</v>
      </c>
      <c r="AQ185">
        <v>13657</v>
      </c>
      <c r="AR185" s="350">
        <v>94.04</v>
      </c>
      <c r="AS185" s="350">
        <v>98.68</v>
      </c>
      <c r="AT185" s="350">
        <v>81.36</v>
      </c>
    </row>
    <row r="186" spans="38:46">
      <c r="AL186" s="346">
        <v>13</v>
      </c>
      <c r="AM186" s="342" t="s">
        <v>10</v>
      </c>
      <c r="AN186" s="346">
        <v>13667</v>
      </c>
      <c r="AO186" s="342" t="s">
        <v>735</v>
      </c>
      <c r="AP186" t="s">
        <v>1254</v>
      </c>
      <c r="AQ186">
        <v>13667</v>
      </c>
      <c r="AR186" s="350">
        <v>81.260000000000005</v>
      </c>
      <c r="AS186" s="350">
        <v>98.05</v>
      </c>
      <c r="AT186" s="350">
        <v>65.819999999999993</v>
      </c>
    </row>
    <row r="187" spans="38:46">
      <c r="AL187" s="345">
        <v>13</v>
      </c>
      <c r="AM187" s="341" t="s">
        <v>10</v>
      </c>
      <c r="AN187" s="345">
        <v>13670</v>
      </c>
      <c r="AO187" s="341" t="s">
        <v>745</v>
      </c>
      <c r="AP187" t="s">
        <v>1255</v>
      </c>
      <c r="AQ187">
        <v>13670</v>
      </c>
      <c r="AR187" s="350">
        <v>92.45</v>
      </c>
      <c r="AS187" s="350">
        <v>99.28</v>
      </c>
      <c r="AT187" s="350">
        <v>72</v>
      </c>
    </row>
    <row r="188" spans="38:46">
      <c r="AL188" s="346">
        <v>13</v>
      </c>
      <c r="AM188" s="342" t="s">
        <v>10</v>
      </c>
      <c r="AN188" s="346">
        <v>13673</v>
      </c>
      <c r="AO188" s="342" t="s">
        <v>757</v>
      </c>
      <c r="AP188" t="s">
        <v>1256</v>
      </c>
      <c r="AQ188">
        <v>13673</v>
      </c>
      <c r="AR188" s="350">
        <v>91.13</v>
      </c>
      <c r="AS188" s="350">
        <v>93.63</v>
      </c>
      <c r="AT188" s="350">
        <v>89.54</v>
      </c>
    </row>
    <row r="189" spans="38:46">
      <c r="AL189" s="345">
        <v>13</v>
      </c>
      <c r="AM189" s="341" t="s">
        <v>10</v>
      </c>
      <c r="AN189" s="345">
        <v>13683</v>
      </c>
      <c r="AO189" s="341" t="s">
        <v>725</v>
      </c>
      <c r="AP189" t="s">
        <v>1257</v>
      </c>
      <c r="AQ189">
        <v>13683</v>
      </c>
      <c r="AR189" s="350">
        <v>93.09</v>
      </c>
      <c r="AS189" s="350">
        <v>94.29</v>
      </c>
      <c r="AT189" s="350">
        <v>80.25</v>
      </c>
    </row>
    <row r="190" spans="38:46">
      <c r="AL190" s="346">
        <v>13</v>
      </c>
      <c r="AM190" s="342" t="s">
        <v>10</v>
      </c>
      <c r="AN190" s="346">
        <v>13688</v>
      </c>
      <c r="AO190" s="342" t="s">
        <v>789</v>
      </c>
      <c r="AP190" t="s">
        <v>1258</v>
      </c>
      <c r="AQ190">
        <v>13688</v>
      </c>
      <c r="AR190" s="350">
        <v>70.14</v>
      </c>
      <c r="AS190" s="350">
        <v>98.14</v>
      </c>
      <c r="AT190" s="350">
        <v>34.79</v>
      </c>
    </row>
    <row r="191" spans="38:46">
      <c r="AL191" s="345">
        <v>13</v>
      </c>
      <c r="AM191" s="341" t="s">
        <v>10</v>
      </c>
      <c r="AN191" s="345">
        <v>13744</v>
      </c>
      <c r="AO191" s="341" t="s">
        <v>798</v>
      </c>
      <c r="AP191" t="s">
        <v>1259</v>
      </c>
      <c r="AQ191">
        <v>13744</v>
      </c>
      <c r="AR191" s="350">
        <v>77.27</v>
      </c>
      <c r="AS191" s="350">
        <v>97.6</v>
      </c>
      <c r="AT191" s="350">
        <v>64.92</v>
      </c>
    </row>
    <row r="192" spans="38:46">
      <c r="AL192" s="346">
        <v>13</v>
      </c>
      <c r="AM192" s="342" t="s">
        <v>10</v>
      </c>
      <c r="AN192" s="346">
        <v>13760</v>
      </c>
      <c r="AO192" s="342" t="s">
        <v>809</v>
      </c>
      <c r="AP192" t="s">
        <v>1260</v>
      </c>
      <c r="AQ192">
        <v>13760</v>
      </c>
      <c r="AR192" s="350">
        <v>97.48</v>
      </c>
      <c r="AS192" s="350">
        <v>98.5</v>
      </c>
      <c r="AT192" s="350">
        <v>35.14</v>
      </c>
    </row>
    <row r="193" spans="38:46">
      <c r="AL193" s="345">
        <v>13</v>
      </c>
      <c r="AM193" s="341" t="s">
        <v>10</v>
      </c>
      <c r="AN193" s="345">
        <v>13780</v>
      </c>
      <c r="AO193" s="341" t="s">
        <v>819</v>
      </c>
      <c r="AP193" t="s">
        <v>1261</v>
      </c>
      <c r="AQ193">
        <v>13780</v>
      </c>
      <c r="AR193" s="350">
        <v>92.87</v>
      </c>
      <c r="AS193" s="350">
        <v>98.26</v>
      </c>
      <c r="AT193" s="350">
        <v>87.99</v>
      </c>
    </row>
    <row r="194" spans="38:46">
      <c r="AL194" s="346">
        <v>13</v>
      </c>
      <c r="AM194" s="342" t="s">
        <v>10</v>
      </c>
      <c r="AN194" s="346">
        <v>13810</v>
      </c>
      <c r="AO194" s="342" t="s">
        <v>829</v>
      </c>
      <c r="AP194" t="s">
        <v>1262</v>
      </c>
      <c r="AQ194">
        <v>13810</v>
      </c>
      <c r="AR194" s="350">
        <v>70.400000000000006</v>
      </c>
      <c r="AS194" s="350">
        <v>98.14</v>
      </c>
      <c r="AT194" s="350">
        <v>56.66</v>
      </c>
    </row>
    <row r="195" spans="38:46">
      <c r="AL195" s="345">
        <v>13</v>
      </c>
      <c r="AM195" s="341" t="s">
        <v>10</v>
      </c>
      <c r="AN195" s="345">
        <v>13836</v>
      </c>
      <c r="AO195" s="341" t="s">
        <v>838</v>
      </c>
      <c r="AP195" t="s">
        <v>1263</v>
      </c>
      <c r="AQ195">
        <v>13836</v>
      </c>
      <c r="AR195" s="350">
        <v>98.49</v>
      </c>
      <c r="AS195" s="350">
        <v>99.17</v>
      </c>
      <c r="AT195" s="350">
        <v>89.46</v>
      </c>
    </row>
    <row r="196" spans="38:46">
      <c r="AL196" s="346">
        <v>13</v>
      </c>
      <c r="AM196" s="342" t="s">
        <v>10</v>
      </c>
      <c r="AN196" s="346">
        <v>13838</v>
      </c>
      <c r="AO196" s="342" t="s">
        <v>845</v>
      </c>
      <c r="AP196" t="s">
        <v>1264</v>
      </c>
      <c r="AQ196">
        <v>13838</v>
      </c>
      <c r="AR196" s="350">
        <v>95.25</v>
      </c>
      <c r="AS196" s="350">
        <v>96.76</v>
      </c>
      <c r="AT196" s="350">
        <v>90.7</v>
      </c>
    </row>
    <row r="197" spans="38:46">
      <c r="AL197" s="345">
        <v>13</v>
      </c>
      <c r="AM197" s="341" t="s">
        <v>10</v>
      </c>
      <c r="AN197" s="345">
        <v>13873</v>
      </c>
      <c r="AO197" s="341" t="s">
        <v>435</v>
      </c>
      <c r="AP197" t="s">
        <v>1265</v>
      </c>
      <c r="AQ197">
        <v>13873</v>
      </c>
      <c r="AR197" s="350">
        <v>97.19</v>
      </c>
      <c r="AS197" s="350">
        <v>99.11</v>
      </c>
      <c r="AT197" s="350">
        <v>83.94</v>
      </c>
    </row>
    <row r="198" spans="38:46">
      <c r="AL198" s="346">
        <v>13</v>
      </c>
      <c r="AM198" s="342" t="s">
        <v>10</v>
      </c>
      <c r="AN198" s="346">
        <v>13894</v>
      </c>
      <c r="AO198" s="342" t="s">
        <v>860</v>
      </c>
      <c r="AP198" t="s">
        <v>1266</v>
      </c>
      <c r="AQ198">
        <v>13894</v>
      </c>
      <c r="AR198" s="350">
        <v>86.95</v>
      </c>
      <c r="AS198" s="350">
        <v>98.54</v>
      </c>
      <c r="AT198" s="350">
        <v>16.510000000000002</v>
      </c>
    </row>
    <row r="199" spans="38:46">
      <c r="AL199" s="345">
        <v>15</v>
      </c>
      <c r="AM199" s="341" t="s">
        <v>11</v>
      </c>
      <c r="AN199" s="345">
        <v>15001</v>
      </c>
      <c r="AO199" s="341" t="s">
        <v>1163</v>
      </c>
      <c r="AP199" t="s">
        <v>1267</v>
      </c>
      <c r="AQ199">
        <v>15001</v>
      </c>
      <c r="AR199" s="350">
        <v>99.64</v>
      </c>
      <c r="AS199" s="350">
        <v>99.75</v>
      </c>
      <c r="AT199" s="350">
        <v>96.74</v>
      </c>
    </row>
    <row r="200" spans="38:46">
      <c r="AL200" s="346">
        <v>15</v>
      </c>
      <c r="AM200" s="342" t="s">
        <v>11</v>
      </c>
      <c r="AN200" s="346">
        <v>15022</v>
      </c>
      <c r="AO200" s="342" t="s">
        <v>50</v>
      </c>
      <c r="AP200" t="s">
        <v>1268</v>
      </c>
      <c r="AQ200">
        <v>15022</v>
      </c>
      <c r="AR200" s="350">
        <v>94.28</v>
      </c>
      <c r="AS200" s="350">
        <v>100</v>
      </c>
      <c r="AT200" s="350">
        <v>93.14</v>
      </c>
    </row>
    <row r="201" spans="38:46">
      <c r="AL201" s="345">
        <v>15</v>
      </c>
      <c r="AM201" s="341" t="s">
        <v>11</v>
      </c>
      <c r="AN201" s="345">
        <v>15047</v>
      </c>
      <c r="AO201" s="341" t="s">
        <v>83</v>
      </c>
      <c r="AP201" t="s">
        <v>1269</v>
      </c>
      <c r="AQ201">
        <v>15047</v>
      </c>
      <c r="AR201" s="350">
        <v>97.18</v>
      </c>
      <c r="AS201" s="350">
        <v>99.27</v>
      </c>
      <c r="AT201" s="350">
        <v>95.99</v>
      </c>
    </row>
    <row r="202" spans="38:46">
      <c r="AL202" s="346">
        <v>15</v>
      </c>
      <c r="AM202" s="342" t="s">
        <v>11</v>
      </c>
      <c r="AN202" s="346">
        <v>15051</v>
      </c>
      <c r="AO202" s="342" t="s">
        <v>111</v>
      </c>
      <c r="AP202" t="s">
        <v>1270</v>
      </c>
      <c r="AQ202">
        <v>15051</v>
      </c>
      <c r="AR202" s="350">
        <v>98.56</v>
      </c>
      <c r="AS202" s="350">
        <v>99.12</v>
      </c>
      <c r="AT202" s="350">
        <v>98.12</v>
      </c>
    </row>
    <row r="203" spans="38:46">
      <c r="AL203" s="345">
        <v>15</v>
      </c>
      <c r="AM203" s="341" t="s">
        <v>11</v>
      </c>
      <c r="AN203" s="345">
        <v>15087</v>
      </c>
      <c r="AO203" s="341" t="s">
        <v>142</v>
      </c>
      <c r="AP203" t="s">
        <v>1271</v>
      </c>
      <c r="AQ203">
        <v>15087</v>
      </c>
      <c r="AR203" s="350">
        <v>97.33</v>
      </c>
      <c r="AS203" s="350">
        <v>98.57</v>
      </c>
      <c r="AT203" s="350">
        <v>95.53</v>
      </c>
    </row>
    <row r="204" spans="38:46">
      <c r="AL204" s="346">
        <v>15</v>
      </c>
      <c r="AM204" s="342" t="s">
        <v>11</v>
      </c>
      <c r="AN204" s="346">
        <v>15090</v>
      </c>
      <c r="AO204" s="342" t="s">
        <v>172</v>
      </c>
      <c r="AP204" t="s">
        <v>1272</v>
      </c>
      <c r="AQ204">
        <v>15090</v>
      </c>
      <c r="AR204" s="350">
        <v>95.45</v>
      </c>
      <c r="AS204" s="350">
        <v>97.87</v>
      </c>
      <c r="AT204" s="350">
        <v>94.62</v>
      </c>
    </row>
    <row r="205" spans="38:46">
      <c r="AL205" s="345">
        <v>15</v>
      </c>
      <c r="AM205" s="341" t="s">
        <v>11</v>
      </c>
      <c r="AN205" s="345">
        <v>15092</v>
      </c>
      <c r="AO205" s="341" t="s">
        <v>200</v>
      </c>
      <c r="AP205" t="s">
        <v>1273</v>
      </c>
      <c r="AQ205">
        <v>15092</v>
      </c>
      <c r="AR205" s="350">
        <v>97.38</v>
      </c>
      <c r="AS205" s="350">
        <v>99.18</v>
      </c>
      <c r="AT205" s="350">
        <v>96.97</v>
      </c>
    </row>
    <row r="206" spans="38:46">
      <c r="AL206" s="346">
        <v>15</v>
      </c>
      <c r="AM206" s="342" t="s">
        <v>11</v>
      </c>
      <c r="AN206" s="346">
        <v>15097</v>
      </c>
      <c r="AO206" s="342" t="s">
        <v>228</v>
      </c>
      <c r="AP206" t="s">
        <v>1274</v>
      </c>
      <c r="AQ206">
        <v>15097</v>
      </c>
      <c r="AR206" s="350">
        <v>97.45</v>
      </c>
      <c r="AS206" s="350">
        <v>99.71</v>
      </c>
      <c r="AT206" s="350">
        <v>95.83</v>
      </c>
    </row>
    <row r="207" spans="38:46">
      <c r="AL207" s="345">
        <v>15</v>
      </c>
      <c r="AM207" s="341" t="s">
        <v>11</v>
      </c>
      <c r="AN207" s="345">
        <v>15104</v>
      </c>
      <c r="AO207" s="341" t="s">
        <v>11</v>
      </c>
      <c r="AP207" t="s">
        <v>1275</v>
      </c>
      <c r="AQ207">
        <v>15104</v>
      </c>
      <c r="AR207" s="350">
        <v>97.04</v>
      </c>
      <c r="AS207" s="350">
        <v>98.85</v>
      </c>
      <c r="AT207" s="350">
        <v>96.66</v>
      </c>
    </row>
    <row r="208" spans="38:46">
      <c r="AL208" s="346">
        <v>15</v>
      </c>
      <c r="AM208" s="342" t="s">
        <v>11</v>
      </c>
      <c r="AN208" s="346">
        <v>15106</v>
      </c>
      <c r="AO208" s="342" t="s">
        <v>282</v>
      </c>
      <c r="AP208" t="s">
        <v>1276</v>
      </c>
      <c r="AQ208">
        <v>15106</v>
      </c>
      <c r="AR208" s="350">
        <v>94.69</v>
      </c>
      <c r="AS208" s="350">
        <v>98.04</v>
      </c>
      <c r="AT208" s="350">
        <v>93.71</v>
      </c>
    </row>
    <row r="209" spans="38:46">
      <c r="AL209" s="345">
        <v>15</v>
      </c>
      <c r="AM209" s="341" t="s">
        <v>11</v>
      </c>
      <c r="AN209" s="345">
        <v>15109</v>
      </c>
      <c r="AO209" s="341" t="s">
        <v>70</v>
      </c>
      <c r="AP209" t="s">
        <v>1277</v>
      </c>
      <c r="AQ209">
        <v>15109</v>
      </c>
      <c r="AR209" s="350">
        <v>96.54</v>
      </c>
      <c r="AS209" s="350">
        <v>100</v>
      </c>
      <c r="AT209" s="350">
        <v>95.83</v>
      </c>
    </row>
    <row r="210" spans="38:46">
      <c r="AL210" s="346">
        <v>15</v>
      </c>
      <c r="AM210" s="342" t="s">
        <v>11</v>
      </c>
      <c r="AN210" s="346">
        <v>15114</v>
      </c>
      <c r="AO210" s="342" t="s">
        <v>332</v>
      </c>
      <c r="AP210" t="s">
        <v>1278</v>
      </c>
      <c r="AQ210">
        <v>15114</v>
      </c>
      <c r="AR210" s="350">
        <v>95.08</v>
      </c>
      <c r="AS210" s="350">
        <v>94.62</v>
      </c>
      <c r="AT210" s="350">
        <v>95.52</v>
      </c>
    </row>
    <row r="211" spans="38:46">
      <c r="AL211" s="345">
        <v>15</v>
      </c>
      <c r="AM211" s="341" t="s">
        <v>11</v>
      </c>
      <c r="AN211" s="345">
        <v>15131</v>
      </c>
      <c r="AO211" s="341" t="s">
        <v>12</v>
      </c>
      <c r="AP211" t="s">
        <v>1279</v>
      </c>
      <c r="AQ211">
        <v>15131</v>
      </c>
      <c r="AR211" s="350">
        <v>98.89</v>
      </c>
      <c r="AS211" s="350">
        <v>100</v>
      </c>
      <c r="AT211" s="350">
        <v>98.79</v>
      </c>
    </row>
    <row r="212" spans="38:46">
      <c r="AL212" s="346">
        <v>15</v>
      </c>
      <c r="AM212" s="342" t="s">
        <v>11</v>
      </c>
      <c r="AN212" s="346">
        <v>15135</v>
      </c>
      <c r="AO212" s="342" t="s">
        <v>379</v>
      </c>
      <c r="AP212" t="s">
        <v>1280</v>
      </c>
      <c r="AQ212">
        <v>15135</v>
      </c>
      <c r="AR212" s="350">
        <v>93.87</v>
      </c>
      <c r="AS212" s="350">
        <v>98.78</v>
      </c>
      <c r="AT212" s="350">
        <v>92.14</v>
      </c>
    </row>
    <row r="213" spans="38:46">
      <c r="AL213" s="345">
        <v>15</v>
      </c>
      <c r="AM213" s="341" t="s">
        <v>11</v>
      </c>
      <c r="AN213" s="345">
        <v>15162</v>
      </c>
      <c r="AO213" s="341" t="s">
        <v>402</v>
      </c>
      <c r="AP213" t="s">
        <v>1281</v>
      </c>
      <c r="AQ213">
        <v>15162</v>
      </c>
      <c r="AR213" s="350">
        <v>99.58</v>
      </c>
      <c r="AS213" s="350">
        <v>99.8</v>
      </c>
      <c r="AT213" s="350">
        <v>99.42</v>
      </c>
    </row>
    <row r="214" spans="38:46">
      <c r="AL214" s="346">
        <v>15</v>
      </c>
      <c r="AM214" s="342" t="s">
        <v>11</v>
      </c>
      <c r="AN214" s="346">
        <v>15172</v>
      </c>
      <c r="AO214" s="342" t="s">
        <v>425</v>
      </c>
      <c r="AP214" t="s">
        <v>1282</v>
      </c>
      <c r="AQ214">
        <v>15172</v>
      </c>
      <c r="AR214" s="350">
        <v>97.78</v>
      </c>
      <c r="AS214" s="350">
        <v>99.51</v>
      </c>
      <c r="AT214" s="350">
        <v>96.71</v>
      </c>
    </row>
    <row r="215" spans="38:46">
      <c r="AL215" s="345">
        <v>15</v>
      </c>
      <c r="AM215" s="341" t="s">
        <v>11</v>
      </c>
      <c r="AN215" s="345">
        <v>15176</v>
      </c>
      <c r="AO215" s="341" t="s">
        <v>448</v>
      </c>
      <c r="AP215" t="s">
        <v>1283</v>
      </c>
      <c r="AQ215">
        <v>15176</v>
      </c>
      <c r="AR215" s="350">
        <v>99.47</v>
      </c>
      <c r="AS215" s="350">
        <v>99.68</v>
      </c>
      <c r="AT215" s="350">
        <v>97.67</v>
      </c>
    </row>
    <row r="216" spans="38:46">
      <c r="AL216" s="346">
        <v>15</v>
      </c>
      <c r="AM216" s="342" t="s">
        <v>11</v>
      </c>
      <c r="AN216" s="346">
        <v>15180</v>
      </c>
      <c r="AO216" s="342" t="s">
        <v>490</v>
      </c>
      <c r="AP216" t="s">
        <v>1284</v>
      </c>
      <c r="AQ216">
        <v>15180</v>
      </c>
      <c r="AR216" s="350">
        <v>97.52</v>
      </c>
      <c r="AS216" s="350">
        <v>98.37</v>
      </c>
      <c r="AT216" s="350">
        <v>97.23</v>
      </c>
    </row>
    <row r="217" spans="38:46">
      <c r="AL217" s="345">
        <v>15</v>
      </c>
      <c r="AM217" s="341" t="s">
        <v>11</v>
      </c>
      <c r="AN217" s="345">
        <v>15183</v>
      </c>
      <c r="AO217" s="341" t="s">
        <v>509</v>
      </c>
      <c r="AP217" t="s">
        <v>1285</v>
      </c>
      <c r="AQ217">
        <v>15183</v>
      </c>
      <c r="AR217" s="350">
        <v>83.18</v>
      </c>
      <c r="AS217" s="350">
        <v>97.76</v>
      </c>
      <c r="AT217" s="350">
        <v>78.59</v>
      </c>
    </row>
    <row r="218" spans="38:46">
      <c r="AL218" s="346">
        <v>15</v>
      </c>
      <c r="AM218" s="342" t="s">
        <v>11</v>
      </c>
      <c r="AN218" s="346">
        <v>15185</v>
      </c>
      <c r="AO218" s="342" t="s">
        <v>529</v>
      </c>
      <c r="AP218" t="s">
        <v>1286</v>
      </c>
      <c r="AQ218">
        <v>15185</v>
      </c>
      <c r="AR218" s="350">
        <v>93.69</v>
      </c>
      <c r="AS218" s="350">
        <v>99.73</v>
      </c>
      <c r="AT218" s="350">
        <v>91.99</v>
      </c>
    </row>
    <row r="219" spans="38:46">
      <c r="AL219" s="345">
        <v>15</v>
      </c>
      <c r="AM219" s="341" t="s">
        <v>11</v>
      </c>
      <c r="AN219" s="345">
        <v>15187</v>
      </c>
      <c r="AO219" s="341" t="s">
        <v>547</v>
      </c>
      <c r="AP219" t="s">
        <v>1287</v>
      </c>
      <c r="AQ219">
        <v>15187</v>
      </c>
      <c r="AR219" s="350">
        <v>94.45</v>
      </c>
      <c r="AS219" s="350">
        <v>98.63</v>
      </c>
      <c r="AT219" s="350">
        <v>93.56</v>
      </c>
    </row>
    <row r="220" spans="38:46">
      <c r="AL220" s="346">
        <v>15</v>
      </c>
      <c r="AM220" s="342" t="s">
        <v>11</v>
      </c>
      <c r="AN220" s="346">
        <v>15189</v>
      </c>
      <c r="AO220" s="342" t="s">
        <v>585</v>
      </c>
      <c r="AP220" t="s">
        <v>1288</v>
      </c>
      <c r="AQ220">
        <v>15189</v>
      </c>
      <c r="AR220" s="350">
        <v>96.89</v>
      </c>
      <c r="AS220" s="350">
        <v>99.15</v>
      </c>
      <c r="AT220" s="350">
        <v>96.11</v>
      </c>
    </row>
    <row r="221" spans="38:46">
      <c r="AL221" s="345">
        <v>15</v>
      </c>
      <c r="AM221" s="341" t="s">
        <v>11</v>
      </c>
      <c r="AN221" s="345">
        <v>15204</v>
      </c>
      <c r="AO221" s="341" t="s">
        <v>601</v>
      </c>
      <c r="AP221" t="s">
        <v>1289</v>
      </c>
      <c r="AQ221">
        <v>15204</v>
      </c>
      <c r="AR221" s="350">
        <v>96.68</v>
      </c>
      <c r="AS221" s="350">
        <v>98.19</v>
      </c>
      <c r="AT221" s="350">
        <v>96.44</v>
      </c>
    </row>
    <row r="222" spans="38:46">
      <c r="AL222" s="346">
        <v>15</v>
      </c>
      <c r="AM222" s="342" t="s">
        <v>11</v>
      </c>
      <c r="AN222" s="346">
        <v>15212</v>
      </c>
      <c r="AO222" s="342" t="s">
        <v>619</v>
      </c>
      <c r="AP222" t="s">
        <v>1290</v>
      </c>
      <c r="AQ222">
        <v>15212</v>
      </c>
      <c r="AR222" s="350">
        <v>97.8</v>
      </c>
      <c r="AS222" s="350">
        <v>99.26</v>
      </c>
      <c r="AT222" s="350">
        <v>97.33</v>
      </c>
    </row>
    <row r="223" spans="38:46">
      <c r="AL223" s="345">
        <v>15</v>
      </c>
      <c r="AM223" s="341" t="s">
        <v>11</v>
      </c>
      <c r="AN223" s="345">
        <v>15215</v>
      </c>
      <c r="AO223" s="341" t="s">
        <v>636</v>
      </c>
      <c r="AP223" t="s">
        <v>1291</v>
      </c>
      <c r="AQ223">
        <v>15215</v>
      </c>
      <c r="AR223" s="350">
        <v>96.07</v>
      </c>
      <c r="AS223" s="350">
        <v>99.33</v>
      </c>
      <c r="AT223" s="350">
        <v>90.57</v>
      </c>
    </row>
    <row r="224" spans="38:46">
      <c r="AL224" s="346">
        <v>15</v>
      </c>
      <c r="AM224" s="342" t="s">
        <v>11</v>
      </c>
      <c r="AN224" s="346">
        <v>15218</v>
      </c>
      <c r="AO224" s="342" t="s">
        <v>652</v>
      </c>
      <c r="AP224" t="s">
        <v>1292</v>
      </c>
      <c r="AQ224">
        <v>15218</v>
      </c>
      <c r="AR224" s="350">
        <v>87.66</v>
      </c>
      <c r="AS224" s="350">
        <v>99.34</v>
      </c>
      <c r="AT224" s="350">
        <v>85.12</v>
      </c>
    </row>
    <row r="225" spans="38:46">
      <c r="AL225" s="345">
        <v>15</v>
      </c>
      <c r="AM225" s="341" t="s">
        <v>11</v>
      </c>
      <c r="AN225" s="345">
        <v>15223</v>
      </c>
      <c r="AO225" s="341" t="s">
        <v>668</v>
      </c>
      <c r="AP225" t="s">
        <v>1293</v>
      </c>
      <c r="AQ225">
        <v>15223</v>
      </c>
      <c r="AR225" s="350">
        <v>47.1</v>
      </c>
      <c r="AS225" s="350">
        <v>92.45</v>
      </c>
      <c r="AT225" s="350">
        <v>31.75</v>
      </c>
    </row>
    <row r="226" spans="38:46">
      <c r="AL226" s="346">
        <v>15</v>
      </c>
      <c r="AM226" s="342" t="s">
        <v>11</v>
      </c>
      <c r="AN226" s="346">
        <v>15224</v>
      </c>
      <c r="AO226" s="342" t="s">
        <v>682</v>
      </c>
      <c r="AP226" t="s">
        <v>1294</v>
      </c>
      <c r="AQ226">
        <v>15224</v>
      </c>
      <c r="AR226" s="350">
        <v>97.63</v>
      </c>
      <c r="AS226" s="350">
        <v>97.98</v>
      </c>
      <c r="AT226" s="350">
        <v>97.38</v>
      </c>
    </row>
    <row r="227" spans="38:46">
      <c r="AL227" s="345">
        <v>15</v>
      </c>
      <c r="AM227" s="341" t="s">
        <v>11</v>
      </c>
      <c r="AN227" s="345">
        <v>15226</v>
      </c>
      <c r="AO227" s="341" t="s">
        <v>698</v>
      </c>
      <c r="AP227" t="s">
        <v>1295</v>
      </c>
      <c r="AQ227">
        <v>15226</v>
      </c>
      <c r="AR227" s="350">
        <v>92.52</v>
      </c>
      <c r="AS227" s="350">
        <v>96.84</v>
      </c>
      <c r="AT227" s="350">
        <v>91.68</v>
      </c>
    </row>
    <row r="228" spans="38:46">
      <c r="AL228" s="346">
        <v>15</v>
      </c>
      <c r="AM228" s="342" t="s">
        <v>11</v>
      </c>
      <c r="AN228" s="346">
        <v>15232</v>
      </c>
      <c r="AO228" s="342" t="s">
        <v>469</v>
      </c>
      <c r="AP228" t="s">
        <v>1296</v>
      </c>
      <c r="AQ228">
        <v>15232</v>
      </c>
      <c r="AR228" s="350">
        <v>96.75</v>
      </c>
      <c r="AS228" s="350">
        <v>97.03</v>
      </c>
      <c r="AT228" s="350">
        <v>96.72</v>
      </c>
    </row>
    <row r="229" spans="38:46">
      <c r="AL229" s="345">
        <v>15</v>
      </c>
      <c r="AM229" s="341" t="s">
        <v>11</v>
      </c>
      <c r="AN229" s="345">
        <v>15236</v>
      </c>
      <c r="AO229" s="341" t="s">
        <v>564</v>
      </c>
      <c r="AP229" t="s">
        <v>1297</v>
      </c>
      <c r="AQ229">
        <v>15236</v>
      </c>
      <c r="AR229" s="350">
        <v>94.47</v>
      </c>
      <c r="AS229" s="350">
        <v>100</v>
      </c>
      <c r="AT229" s="350">
        <v>91.75</v>
      </c>
    </row>
    <row r="230" spans="38:46">
      <c r="AL230" s="346">
        <v>15</v>
      </c>
      <c r="AM230" s="342" t="s">
        <v>11</v>
      </c>
      <c r="AN230" s="346">
        <v>15238</v>
      </c>
      <c r="AO230" s="342" t="s">
        <v>713</v>
      </c>
      <c r="AP230" t="s">
        <v>1298</v>
      </c>
      <c r="AQ230">
        <v>15238</v>
      </c>
      <c r="AR230" s="350">
        <v>99.5</v>
      </c>
      <c r="AS230" s="350">
        <v>99.71</v>
      </c>
      <c r="AT230" s="350">
        <v>97.75</v>
      </c>
    </row>
    <row r="231" spans="38:46">
      <c r="AL231" s="345">
        <v>15</v>
      </c>
      <c r="AM231" s="341" t="s">
        <v>11</v>
      </c>
      <c r="AN231" s="345">
        <v>15244</v>
      </c>
      <c r="AO231" s="341" t="s">
        <v>724</v>
      </c>
      <c r="AP231" t="s">
        <v>1299</v>
      </c>
      <c r="AQ231">
        <v>15244</v>
      </c>
      <c r="AR231" s="350">
        <v>98.68</v>
      </c>
      <c r="AS231" s="350">
        <v>99.56</v>
      </c>
      <c r="AT231" s="350">
        <v>97.54</v>
      </c>
    </row>
    <row r="232" spans="38:46">
      <c r="AL232" s="346">
        <v>15</v>
      </c>
      <c r="AM232" s="342" t="s">
        <v>11</v>
      </c>
      <c r="AN232" s="346">
        <v>15248</v>
      </c>
      <c r="AO232" s="342" t="s">
        <v>736</v>
      </c>
      <c r="AP232" t="s">
        <v>1300</v>
      </c>
      <c r="AQ232">
        <v>15248</v>
      </c>
      <c r="AR232" s="350">
        <v>97.37</v>
      </c>
      <c r="AS232" s="350">
        <v>98.41</v>
      </c>
      <c r="AT232" s="350">
        <v>96.41</v>
      </c>
    </row>
    <row r="233" spans="38:46">
      <c r="AL233" s="345">
        <v>15</v>
      </c>
      <c r="AM233" s="341" t="s">
        <v>11</v>
      </c>
      <c r="AN233" s="345">
        <v>15272</v>
      </c>
      <c r="AO233" s="341" t="s">
        <v>746</v>
      </c>
      <c r="AP233" t="s">
        <v>1301</v>
      </c>
      <c r="AQ233">
        <v>15272</v>
      </c>
      <c r="AR233" s="350">
        <v>96.94</v>
      </c>
      <c r="AS233" s="350">
        <v>99.1</v>
      </c>
      <c r="AT233" s="350">
        <v>95.66</v>
      </c>
    </row>
    <row r="234" spans="38:46">
      <c r="AL234" s="346">
        <v>15</v>
      </c>
      <c r="AM234" s="342" t="s">
        <v>11</v>
      </c>
      <c r="AN234" s="346">
        <v>15276</v>
      </c>
      <c r="AO234" s="342" t="s">
        <v>758</v>
      </c>
      <c r="AP234" t="s">
        <v>1302</v>
      </c>
      <c r="AQ234">
        <v>15276</v>
      </c>
      <c r="AR234" s="350">
        <v>95.67</v>
      </c>
      <c r="AS234" s="350">
        <v>99.44</v>
      </c>
      <c r="AT234" s="350">
        <v>93.71</v>
      </c>
    </row>
    <row r="235" spans="38:46">
      <c r="AL235" s="345">
        <v>15</v>
      </c>
      <c r="AM235" s="341" t="s">
        <v>11</v>
      </c>
      <c r="AN235" s="345">
        <v>15293</v>
      </c>
      <c r="AO235" s="341" t="s">
        <v>769</v>
      </c>
      <c r="AP235" t="s">
        <v>1303</v>
      </c>
      <c r="AQ235">
        <v>15293</v>
      </c>
      <c r="AR235" s="350">
        <v>94.59</v>
      </c>
      <c r="AS235" s="350">
        <v>100</v>
      </c>
      <c r="AT235" s="350">
        <v>93.09</v>
      </c>
    </row>
    <row r="236" spans="38:46">
      <c r="AL236" s="346">
        <v>15</v>
      </c>
      <c r="AM236" s="342" t="s">
        <v>11</v>
      </c>
      <c r="AN236" s="346">
        <v>15296</v>
      </c>
      <c r="AO236" s="342" t="s">
        <v>779</v>
      </c>
      <c r="AP236" t="s">
        <v>1304</v>
      </c>
      <c r="AQ236">
        <v>15296</v>
      </c>
      <c r="AR236" s="350">
        <v>97.5</v>
      </c>
      <c r="AS236" s="350">
        <v>99.53</v>
      </c>
      <c r="AT236" s="350">
        <v>96.6</v>
      </c>
    </row>
    <row r="237" spans="38:46">
      <c r="AL237" s="345">
        <v>15</v>
      </c>
      <c r="AM237" s="341" t="s">
        <v>11</v>
      </c>
      <c r="AN237" s="345">
        <v>15299</v>
      </c>
      <c r="AO237" s="341" t="s">
        <v>790</v>
      </c>
      <c r="AP237" t="s">
        <v>1305</v>
      </c>
      <c r="AQ237">
        <v>15299</v>
      </c>
      <c r="AR237" s="350">
        <v>97.87</v>
      </c>
      <c r="AS237" s="350">
        <v>99.49</v>
      </c>
      <c r="AT237" s="350">
        <v>92.67</v>
      </c>
    </row>
    <row r="238" spans="38:46">
      <c r="AL238" s="346">
        <v>15</v>
      </c>
      <c r="AM238" s="342" t="s">
        <v>11</v>
      </c>
      <c r="AN238" s="346">
        <v>15317</v>
      </c>
      <c r="AO238" s="342" t="s">
        <v>799</v>
      </c>
      <c r="AP238" t="s">
        <v>1306</v>
      </c>
      <c r="AQ238">
        <v>15317</v>
      </c>
      <c r="AR238" s="350">
        <v>98.87</v>
      </c>
      <c r="AS238" s="350">
        <v>99.49</v>
      </c>
      <c r="AT238" s="350">
        <v>98.58</v>
      </c>
    </row>
    <row r="239" spans="38:46">
      <c r="AL239" s="345">
        <v>15</v>
      </c>
      <c r="AM239" s="341" t="s">
        <v>11</v>
      </c>
      <c r="AN239" s="345">
        <v>15322</v>
      </c>
      <c r="AO239" s="341" t="s">
        <v>810</v>
      </c>
      <c r="AP239" t="s">
        <v>1307</v>
      </c>
      <c r="AQ239">
        <v>15322</v>
      </c>
      <c r="AR239" s="350">
        <v>98.7</v>
      </c>
      <c r="AS239" s="350">
        <v>99.65</v>
      </c>
      <c r="AT239" s="350">
        <v>95.12</v>
      </c>
    </row>
    <row r="240" spans="38:46">
      <c r="AL240" s="346">
        <v>15</v>
      </c>
      <c r="AM240" s="342" t="s">
        <v>11</v>
      </c>
      <c r="AN240" s="346">
        <v>15325</v>
      </c>
      <c r="AO240" s="342" t="s">
        <v>820</v>
      </c>
      <c r="AP240" t="s">
        <v>1308</v>
      </c>
      <c r="AQ240">
        <v>15325</v>
      </c>
      <c r="AR240" s="350">
        <v>96.76</v>
      </c>
      <c r="AS240" s="350">
        <v>99.5</v>
      </c>
      <c r="AT240" s="350">
        <v>95.5</v>
      </c>
    </row>
    <row r="241" spans="38:46">
      <c r="AL241" s="345">
        <v>15</v>
      </c>
      <c r="AM241" s="341" t="s">
        <v>11</v>
      </c>
      <c r="AN241" s="345">
        <v>15332</v>
      </c>
      <c r="AO241" s="341" t="s">
        <v>830</v>
      </c>
      <c r="AP241" t="s">
        <v>1309</v>
      </c>
      <c r="AQ241">
        <v>15332</v>
      </c>
      <c r="AR241" s="350">
        <v>79.61</v>
      </c>
      <c r="AS241" s="350">
        <v>99.76</v>
      </c>
      <c r="AT241" s="350">
        <v>69.400000000000006</v>
      </c>
    </row>
    <row r="242" spans="38:46">
      <c r="AL242" s="346">
        <v>15</v>
      </c>
      <c r="AM242" s="342" t="s">
        <v>11</v>
      </c>
      <c r="AN242" s="346">
        <v>15362</v>
      </c>
      <c r="AO242" s="342" t="s">
        <v>839</v>
      </c>
      <c r="AP242" t="s">
        <v>1310</v>
      </c>
      <c r="AQ242">
        <v>15362</v>
      </c>
      <c r="AR242" s="350">
        <v>97.14</v>
      </c>
      <c r="AS242" s="350">
        <v>98.16</v>
      </c>
      <c r="AT242" s="350">
        <v>95.58</v>
      </c>
    </row>
    <row r="243" spans="38:46">
      <c r="AL243" s="345">
        <v>15</v>
      </c>
      <c r="AM243" s="341" t="s">
        <v>11</v>
      </c>
      <c r="AN243" s="345">
        <v>15367</v>
      </c>
      <c r="AO243" s="341" t="s">
        <v>846</v>
      </c>
      <c r="AP243" t="s">
        <v>1311</v>
      </c>
      <c r="AQ243">
        <v>15367</v>
      </c>
      <c r="AR243" s="350">
        <v>95.65</v>
      </c>
      <c r="AS243" s="350">
        <v>99.46</v>
      </c>
      <c r="AT243" s="350">
        <v>94.27</v>
      </c>
    </row>
    <row r="244" spans="38:46">
      <c r="AL244" s="346">
        <v>15</v>
      </c>
      <c r="AM244" s="342" t="s">
        <v>11</v>
      </c>
      <c r="AN244" s="346">
        <v>15368</v>
      </c>
      <c r="AO244" s="342" t="s">
        <v>853</v>
      </c>
      <c r="AP244" t="s">
        <v>1312</v>
      </c>
      <c r="AQ244">
        <v>15368</v>
      </c>
      <c r="AR244" s="350">
        <v>92.59</v>
      </c>
      <c r="AS244" s="350">
        <v>100</v>
      </c>
      <c r="AT244" s="350">
        <v>90.09</v>
      </c>
    </row>
    <row r="245" spans="38:46">
      <c r="AL245" s="345">
        <v>15</v>
      </c>
      <c r="AM245" s="341" t="s">
        <v>11</v>
      </c>
      <c r="AN245" s="345">
        <v>15377</v>
      </c>
      <c r="AO245" s="341" t="s">
        <v>878</v>
      </c>
      <c r="AP245" t="s">
        <v>1313</v>
      </c>
      <c r="AQ245">
        <v>15377</v>
      </c>
      <c r="AR245" s="350">
        <v>73.47</v>
      </c>
      <c r="AS245" s="350">
        <v>97.13</v>
      </c>
      <c r="AT245" s="350">
        <v>61.64</v>
      </c>
    </row>
    <row r="246" spans="38:46">
      <c r="AL246" s="346">
        <v>15</v>
      </c>
      <c r="AM246" s="342" t="s">
        <v>11</v>
      </c>
      <c r="AN246" s="346">
        <v>15380</v>
      </c>
      <c r="AO246" s="342" t="s">
        <v>861</v>
      </c>
      <c r="AP246" t="s">
        <v>1314</v>
      </c>
      <c r="AQ246">
        <v>15380</v>
      </c>
      <c r="AR246" s="350">
        <v>95.97</v>
      </c>
      <c r="AS246" s="350">
        <v>97.58</v>
      </c>
      <c r="AT246" s="350">
        <v>94.98</v>
      </c>
    </row>
    <row r="247" spans="38:46">
      <c r="AL247" s="345">
        <v>15</v>
      </c>
      <c r="AM247" s="341" t="s">
        <v>11</v>
      </c>
      <c r="AN247" s="345">
        <v>15401</v>
      </c>
      <c r="AO247" s="341" t="s">
        <v>137</v>
      </c>
      <c r="AP247" t="s">
        <v>1315</v>
      </c>
      <c r="AQ247">
        <v>15401</v>
      </c>
      <c r="AR247" s="350">
        <v>90.29</v>
      </c>
      <c r="AS247" s="350">
        <v>97.74</v>
      </c>
      <c r="AT247" s="350">
        <v>86.29</v>
      </c>
    </row>
    <row r="248" spans="38:46">
      <c r="AL248" s="346">
        <v>15</v>
      </c>
      <c r="AM248" s="342" t="s">
        <v>11</v>
      </c>
      <c r="AN248" s="346">
        <v>15403</v>
      </c>
      <c r="AO248" s="342" t="s">
        <v>866</v>
      </c>
      <c r="AP248" t="s">
        <v>1316</v>
      </c>
      <c r="AQ248">
        <v>15403</v>
      </c>
      <c r="AR248" s="350">
        <v>95.53</v>
      </c>
      <c r="AS248" s="350">
        <v>98.75</v>
      </c>
      <c r="AT248" s="350">
        <v>93.32</v>
      </c>
    </row>
    <row r="249" spans="38:46">
      <c r="AL249" s="345">
        <v>15</v>
      </c>
      <c r="AM249" s="341" t="s">
        <v>11</v>
      </c>
      <c r="AN249" s="345">
        <v>15407</v>
      </c>
      <c r="AO249" s="341" t="s">
        <v>1185</v>
      </c>
      <c r="AP249" t="s">
        <v>1317</v>
      </c>
      <c r="AQ249">
        <v>15407</v>
      </c>
      <c r="AR249" s="350">
        <v>98.56</v>
      </c>
      <c r="AS249" s="350">
        <v>99.77</v>
      </c>
      <c r="AT249" s="350">
        <v>97.07</v>
      </c>
    </row>
    <row r="250" spans="38:46">
      <c r="AL250" s="346">
        <v>15</v>
      </c>
      <c r="AM250" s="342" t="s">
        <v>11</v>
      </c>
      <c r="AN250" s="346">
        <v>15425</v>
      </c>
      <c r="AO250" s="342" t="s">
        <v>884</v>
      </c>
      <c r="AP250" t="s">
        <v>1318</v>
      </c>
      <c r="AQ250">
        <v>15425</v>
      </c>
      <c r="AR250" s="350">
        <v>98.54</v>
      </c>
      <c r="AS250" s="350">
        <v>99.69</v>
      </c>
      <c r="AT250" s="350">
        <v>98.16</v>
      </c>
    </row>
    <row r="251" spans="38:46">
      <c r="AL251" s="345">
        <v>15</v>
      </c>
      <c r="AM251" s="341" t="s">
        <v>11</v>
      </c>
      <c r="AN251" s="345">
        <v>15442</v>
      </c>
      <c r="AO251" s="341" t="s">
        <v>890</v>
      </c>
      <c r="AP251" t="s">
        <v>1319</v>
      </c>
      <c r="AQ251">
        <v>15442</v>
      </c>
      <c r="AR251" s="350">
        <v>90.42</v>
      </c>
      <c r="AS251" s="350">
        <v>100</v>
      </c>
      <c r="AT251" s="350">
        <v>88.88</v>
      </c>
    </row>
    <row r="252" spans="38:46">
      <c r="AL252" s="346">
        <v>15</v>
      </c>
      <c r="AM252" s="342" t="s">
        <v>11</v>
      </c>
      <c r="AN252" s="346">
        <v>15455</v>
      </c>
      <c r="AO252" s="342" t="s">
        <v>120</v>
      </c>
      <c r="AP252" t="s">
        <v>1320</v>
      </c>
      <c r="AQ252">
        <v>15455</v>
      </c>
      <c r="AR252" s="350">
        <v>98.58</v>
      </c>
      <c r="AS252" s="350">
        <v>99.52</v>
      </c>
      <c r="AT252" s="350">
        <v>97.17</v>
      </c>
    </row>
    <row r="253" spans="38:46">
      <c r="AL253" s="345">
        <v>15</v>
      </c>
      <c r="AM253" s="341" t="s">
        <v>11</v>
      </c>
      <c r="AN253" s="345">
        <v>15464</v>
      </c>
      <c r="AO253" s="341" t="s">
        <v>899</v>
      </c>
      <c r="AP253" t="s">
        <v>1321</v>
      </c>
      <c r="AQ253">
        <v>15464</v>
      </c>
      <c r="AR253" s="350">
        <v>89.28</v>
      </c>
      <c r="AS253" s="350">
        <v>99.35</v>
      </c>
      <c r="AT253" s="350">
        <v>80.87</v>
      </c>
    </row>
    <row r="254" spans="38:46">
      <c r="AL254" s="346">
        <v>15</v>
      </c>
      <c r="AM254" s="342" t="s">
        <v>11</v>
      </c>
      <c r="AN254" s="346">
        <v>15466</v>
      </c>
      <c r="AO254" s="342" t="s">
        <v>904</v>
      </c>
      <c r="AP254" t="s">
        <v>1322</v>
      </c>
      <c r="AQ254">
        <v>15466</v>
      </c>
      <c r="AR254" s="350">
        <v>96.94</v>
      </c>
      <c r="AS254" s="350">
        <v>98.66</v>
      </c>
      <c r="AT254" s="350">
        <v>94.5</v>
      </c>
    </row>
    <row r="255" spans="38:46">
      <c r="AL255" s="345">
        <v>15</v>
      </c>
      <c r="AM255" s="341" t="s">
        <v>11</v>
      </c>
      <c r="AN255" s="345">
        <v>15469</v>
      </c>
      <c r="AO255" s="341" t="s">
        <v>910</v>
      </c>
      <c r="AP255" t="s">
        <v>1323</v>
      </c>
      <c r="AQ255">
        <v>15469</v>
      </c>
      <c r="AR255" s="350">
        <v>98.55</v>
      </c>
      <c r="AS255" s="350">
        <v>99.76</v>
      </c>
      <c r="AT255" s="350">
        <v>97.2</v>
      </c>
    </row>
    <row r="256" spans="38:46">
      <c r="AL256" s="346">
        <v>15</v>
      </c>
      <c r="AM256" s="342" t="s">
        <v>11</v>
      </c>
      <c r="AN256" s="346">
        <v>15476</v>
      </c>
      <c r="AO256" s="342" t="s">
        <v>915</v>
      </c>
      <c r="AP256" t="s">
        <v>1324</v>
      </c>
      <c r="AQ256">
        <v>15476</v>
      </c>
      <c r="AR256" s="350">
        <v>97.09</v>
      </c>
      <c r="AS256" s="350">
        <v>98.35</v>
      </c>
      <c r="AT256" s="350">
        <v>96.88</v>
      </c>
    </row>
    <row r="257" spans="38:46">
      <c r="AL257" s="345">
        <v>15</v>
      </c>
      <c r="AM257" s="341" t="s">
        <v>11</v>
      </c>
      <c r="AN257" s="345">
        <v>15480</v>
      </c>
      <c r="AO257" s="341" t="s">
        <v>921</v>
      </c>
      <c r="AP257" t="s">
        <v>1325</v>
      </c>
      <c r="AQ257">
        <v>15480</v>
      </c>
      <c r="AR257" s="350">
        <v>93.24</v>
      </c>
      <c r="AS257" s="350">
        <v>98.05</v>
      </c>
      <c r="AT257" s="350">
        <v>87.54</v>
      </c>
    </row>
    <row r="258" spans="38:46">
      <c r="AL258" s="346">
        <v>15</v>
      </c>
      <c r="AM258" s="342" t="s">
        <v>11</v>
      </c>
      <c r="AN258" s="346">
        <v>15491</v>
      </c>
      <c r="AO258" s="342" t="s">
        <v>927</v>
      </c>
      <c r="AP258" t="s">
        <v>1326</v>
      </c>
      <c r="AQ258">
        <v>15491</v>
      </c>
      <c r="AR258" s="350">
        <v>99.42</v>
      </c>
      <c r="AS258" s="350">
        <v>99.8</v>
      </c>
      <c r="AT258" s="350">
        <v>99.22</v>
      </c>
    </row>
    <row r="259" spans="38:46">
      <c r="AL259" s="345">
        <v>15</v>
      </c>
      <c r="AM259" s="341" t="s">
        <v>11</v>
      </c>
      <c r="AN259" s="345">
        <v>15494</v>
      </c>
      <c r="AO259" s="341" t="s">
        <v>933</v>
      </c>
      <c r="AP259" t="s">
        <v>1327</v>
      </c>
      <c r="AQ259">
        <v>15494</v>
      </c>
      <c r="AR259" s="350">
        <v>95.2</v>
      </c>
      <c r="AS259" s="350">
        <v>99.01</v>
      </c>
      <c r="AT259" s="350">
        <v>94.32</v>
      </c>
    </row>
    <row r="260" spans="38:46">
      <c r="AL260" s="346">
        <v>15</v>
      </c>
      <c r="AM260" s="342" t="s">
        <v>11</v>
      </c>
      <c r="AN260" s="346">
        <v>15500</v>
      </c>
      <c r="AO260" s="342" t="s">
        <v>938</v>
      </c>
      <c r="AP260" t="s">
        <v>1328</v>
      </c>
      <c r="AQ260">
        <v>15500</v>
      </c>
      <c r="AR260" s="350">
        <v>97.19</v>
      </c>
      <c r="AS260" s="350">
        <v>99.17</v>
      </c>
      <c r="AT260" s="350">
        <v>96.87</v>
      </c>
    </row>
    <row r="261" spans="38:46">
      <c r="AL261" s="345">
        <v>15</v>
      </c>
      <c r="AM261" s="341" t="s">
        <v>11</v>
      </c>
      <c r="AN261" s="345">
        <v>15507</v>
      </c>
      <c r="AO261" s="341" t="s">
        <v>942</v>
      </c>
      <c r="AP261" t="s">
        <v>1329</v>
      </c>
      <c r="AQ261">
        <v>15507</v>
      </c>
      <c r="AR261" s="350">
        <v>88.84</v>
      </c>
      <c r="AS261" s="350">
        <v>98.21</v>
      </c>
      <c r="AT261" s="350">
        <v>81.73</v>
      </c>
    </row>
    <row r="262" spans="38:46">
      <c r="AL262" s="346">
        <v>15</v>
      </c>
      <c r="AM262" s="342" t="s">
        <v>11</v>
      </c>
      <c r="AN262" s="346">
        <v>15511</v>
      </c>
      <c r="AO262" s="342" t="s">
        <v>948</v>
      </c>
      <c r="AP262" t="s">
        <v>1330</v>
      </c>
      <c r="AQ262">
        <v>15511</v>
      </c>
      <c r="AR262" s="350">
        <v>95.27</v>
      </c>
      <c r="AS262" s="350">
        <v>97.62</v>
      </c>
      <c r="AT262" s="350">
        <v>94.7</v>
      </c>
    </row>
    <row r="263" spans="38:46">
      <c r="AL263" s="345">
        <v>15</v>
      </c>
      <c r="AM263" s="341" t="s">
        <v>11</v>
      </c>
      <c r="AN263" s="345">
        <v>15514</v>
      </c>
      <c r="AO263" s="341" t="s">
        <v>587</v>
      </c>
      <c r="AP263" t="s">
        <v>1331</v>
      </c>
      <c r="AQ263">
        <v>15514</v>
      </c>
      <c r="AR263" s="350">
        <v>96.05</v>
      </c>
      <c r="AS263" s="350">
        <v>97.62</v>
      </c>
      <c r="AT263" s="350">
        <v>94.85</v>
      </c>
    </row>
    <row r="264" spans="38:46">
      <c r="AL264" s="346">
        <v>15</v>
      </c>
      <c r="AM264" s="342" t="s">
        <v>11</v>
      </c>
      <c r="AN264" s="346">
        <v>15516</v>
      </c>
      <c r="AO264" s="342" t="s">
        <v>959</v>
      </c>
      <c r="AP264" t="s">
        <v>1332</v>
      </c>
      <c r="AQ264">
        <v>15516</v>
      </c>
      <c r="AR264" s="350">
        <v>99.12</v>
      </c>
      <c r="AS264" s="350">
        <v>99.68</v>
      </c>
      <c r="AT264" s="350">
        <v>98.18</v>
      </c>
    </row>
    <row r="265" spans="38:46">
      <c r="AL265" s="345">
        <v>15</v>
      </c>
      <c r="AM265" s="341" t="s">
        <v>11</v>
      </c>
      <c r="AN265" s="345">
        <v>15518</v>
      </c>
      <c r="AO265" s="341" t="s">
        <v>964</v>
      </c>
      <c r="AP265" t="s">
        <v>1333</v>
      </c>
      <c r="AQ265">
        <v>15518</v>
      </c>
      <c r="AR265" s="350">
        <v>95.75</v>
      </c>
      <c r="AS265" s="350">
        <v>99.37</v>
      </c>
      <c r="AT265" s="350">
        <v>92.4</v>
      </c>
    </row>
    <row r="266" spans="38:46">
      <c r="AL266" s="346">
        <v>15</v>
      </c>
      <c r="AM266" s="342" t="s">
        <v>11</v>
      </c>
      <c r="AN266" s="346">
        <v>15522</v>
      </c>
      <c r="AO266" s="342" t="s">
        <v>969</v>
      </c>
      <c r="AP266" t="s">
        <v>1334</v>
      </c>
      <c r="AQ266">
        <v>15522</v>
      </c>
      <c r="AR266" s="350">
        <v>97.78</v>
      </c>
      <c r="AS266" s="350">
        <v>98.83</v>
      </c>
      <c r="AT266" s="350">
        <v>96.83</v>
      </c>
    </row>
    <row r="267" spans="38:46">
      <c r="AL267" s="345">
        <v>15</v>
      </c>
      <c r="AM267" s="341" t="s">
        <v>11</v>
      </c>
      <c r="AN267" s="345">
        <v>15531</v>
      </c>
      <c r="AO267" s="341" t="s">
        <v>974</v>
      </c>
      <c r="AP267" t="s">
        <v>1335</v>
      </c>
      <c r="AQ267">
        <v>15531</v>
      </c>
      <c r="AR267" s="350">
        <v>93.24</v>
      </c>
      <c r="AS267" s="350">
        <v>98.82</v>
      </c>
      <c r="AT267" s="350">
        <v>91.3</v>
      </c>
    </row>
    <row r="268" spans="38:46">
      <c r="AL268" s="346">
        <v>15</v>
      </c>
      <c r="AM268" s="342" t="s">
        <v>11</v>
      </c>
      <c r="AN268" s="346">
        <v>15533</v>
      </c>
      <c r="AO268" s="342" t="s">
        <v>979</v>
      </c>
      <c r="AP268" t="s">
        <v>1336</v>
      </c>
      <c r="AQ268">
        <v>15533</v>
      </c>
      <c r="AR268" s="350">
        <v>32.08</v>
      </c>
      <c r="AS268" s="350">
        <v>95.87</v>
      </c>
      <c r="AT268" s="350">
        <v>15.37</v>
      </c>
    </row>
    <row r="269" spans="38:46">
      <c r="AL269" s="345">
        <v>15</v>
      </c>
      <c r="AM269" s="341" t="s">
        <v>11</v>
      </c>
      <c r="AN269" s="345">
        <v>15537</v>
      </c>
      <c r="AO269" s="341" t="s">
        <v>982</v>
      </c>
      <c r="AP269" t="s">
        <v>1337</v>
      </c>
      <c r="AQ269">
        <v>15537</v>
      </c>
      <c r="AR269" s="350">
        <v>98.56</v>
      </c>
      <c r="AS269" s="350">
        <v>99.41</v>
      </c>
      <c r="AT269" s="350">
        <v>97.21</v>
      </c>
    </row>
    <row r="270" spans="38:46">
      <c r="AL270" s="346">
        <v>15</v>
      </c>
      <c r="AM270" s="342" t="s">
        <v>11</v>
      </c>
      <c r="AN270" s="346">
        <v>15542</v>
      </c>
      <c r="AO270" s="342" t="s">
        <v>987</v>
      </c>
      <c r="AP270" t="s">
        <v>1338</v>
      </c>
      <c r="AQ270">
        <v>15542</v>
      </c>
      <c r="AR270" s="350">
        <v>93.89</v>
      </c>
      <c r="AS270" s="350">
        <v>98.87</v>
      </c>
      <c r="AT270" s="350">
        <v>91.26</v>
      </c>
    </row>
    <row r="271" spans="38:46">
      <c r="AL271" s="345">
        <v>15</v>
      </c>
      <c r="AM271" s="341" t="s">
        <v>11</v>
      </c>
      <c r="AN271" s="345">
        <v>15550</v>
      </c>
      <c r="AO271" s="341" t="s">
        <v>992</v>
      </c>
      <c r="AP271" t="s">
        <v>1339</v>
      </c>
      <c r="AQ271">
        <v>15550</v>
      </c>
      <c r="AR271" s="350">
        <v>44.58</v>
      </c>
      <c r="AS271" s="350">
        <v>95.76</v>
      </c>
      <c r="AT271" s="350">
        <v>19.22</v>
      </c>
    </row>
    <row r="272" spans="38:46">
      <c r="AL272" s="346">
        <v>15</v>
      </c>
      <c r="AM272" s="342" t="s">
        <v>11</v>
      </c>
      <c r="AN272" s="346">
        <v>15572</v>
      </c>
      <c r="AO272" s="342" t="s">
        <v>997</v>
      </c>
      <c r="AP272" t="s">
        <v>1340</v>
      </c>
      <c r="AQ272">
        <v>15572</v>
      </c>
      <c r="AR272" s="350">
        <v>97.6</v>
      </c>
      <c r="AS272" s="350">
        <v>99.12</v>
      </c>
      <c r="AT272" s="350">
        <v>93.7</v>
      </c>
    </row>
    <row r="273" spans="38:46">
      <c r="AL273" s="345">
        <v>15</v>
      </c>
      <c r="AM273" s="341" t="s">
        <v>11</v>
      </c>
      <c r="AN273" s="345">
        <v>15580</v>
      </c>
      <c r="AO273" s="341" t="s">
        <v>1001</v>
      </c>
      <c r="AP273" t="s">
        <v>1341</v>
      </c>
      <c r="AQ273">
        <v>15580</v>
      </c>
      <c r="AR273" s="350">
        <v>83.92</v>
      </c>
      <c r="AS273" s="350">
        <v>98.35</v>
      </c>
      <c r="AT273" s="350">
        <v>78.959999999999994</v>
      </c>
    </row>
    <row r="274" spans="38:46">
      <c r="AL274" s="346">
        <v>15</v>
      </c>
      <c r="AM274" s="342" t="s">
        <v>11</v>
      </c>
      <c r="AN274" s="346">
        <v>15599</v>
      </c>
      <c r="AO274" s="342" t="s">
        <v>1005</v>
      </c>
      <c r="AP274" t="s">
        <v>1342</v>
      </c>
      <c r="AQ274">
        <v>15599</v>
      </c>
      <c r="AR274" s="350">
        <v>98.52</v>
      </c>
      <c r="AS274" s="350">
        <v>99.76</v>
      </c>
      <c r="AT274" s="350">
        <v>97.48</v>
      </c>
    </row>
    <row r="275" spans="38:46">
      <c r="AL275" s="345">
        <v>15</v>
      </c>
      <c r="AM275" s="341" t="s">
        <v>11</v>
      </c>
      <c r="AN275" s="345">
        <v>15600</v>
      </c>
      <c r="AO275" s="341" t="s">
        <v>1010</v>
      </c>
      <c r="AP275" t="s">
        <v>1343</v>
      </c>
      <c r="AQ275">
        <v>15600</v>
      </c>
      <c r="AR275" s="350">
        <v>97.39</v>
      </c>
      <c r="AS275" s="350">
        <v>99.12</v>
      </c>
      <c r="AT275" s="350">
        <v>96.56</v>
      </c>
    </row>
    <row r="276" spans="38:46">
      <c r="AL276" s="346">
        <v>15</v>
      </c>
      <c r="AM276" s="342" t="s">
        <v>11</v>
      </c>
      <c r="AN276" s="346">
        <v>15621</v>
      </c>
      <c r="AO276" s="342" t="s">
        <v>1013</v>
      </c>
      <c r="AP276" t="s">
        <v>1344</v>
      </c>
      <c r="AQ276">
        <v>15621</v>
      </c>
      <c r="AR276" s="350">
        <v>95.79</v>
      </c>
      <c r="AS276" s="350">
        <v>99.15</v>
      </c>
      <c r="AT276" s="350">
        <v>94.57</v>
      </c>
    </row>
    <row r="277" spans="38:46">
      <c r="AL277" s="345">
        <v>15</v>
      </c>
      <c r="AM277" s="341" t="s">
        <v>11</v>
      </c>
      <c r="AN277" s="345">
        <v>15632</v>
      </c>
      <c r="AO277" s="341" t="s">
        <v>1018</v>
      </c>
      <c r="AP277" t="s">
        <v>1345</v>
      </c>
      <c r="AQ277">
        <v>15632</v>
      </c>
      <c r="AR277" s="350">
        <v>98.41</v>
      </c>
      <c r="AS277" s="350">
        <v>98.96</v>
      </c>
      <c r="AT277" s="350">
        <v>98.36</v>
      </c>
    </row>
    <row r="278" spans="38:46">
      <c r="AL278" s="346">
        <v>15</v>
      </c>
      <c r="AM278" s="342" t="s">
        <v>11</v>
      </c>
      <c r="AN278" s="346">
        <v>15638</v>
      </c>
      <c r="AO278" s="342" t="s">
        <v>1022</v>
      </c>
      <c r="AP278" t="s">
        <v>1346</v>
      </c>
      <c r="AQ278">
        <v>15638</v>
      </c>
      <c r="AR278" s="350">
        <v>94.14</v>
      </c>
      <c r="AS278" s="350">
        <v>99.34</v>
      </c>
      <c r="AT278" s="350">
        <v>88.42</v>
      </c>
    </row>
    <row r="279" spans="38:46">
      <c r="AL279" s="345">
        <v>15</v>
      </c>
      <c r="AM279" s="341" t="s">
        <v>11</v>
      </c>
      <c r="AN279" s="345">
        <v>15646</v>
      </c>
      <c r="AO279" s="341" t="s">
        <v>1026</v>
      </c>
      <c r="AP279" t="s">
        <v>1347</v>
      </c>
      <c r="AQ279">
        <v>15646</v>
      </c>
      <c r="AR279" s="350">
        <v>99.38</v>
      </c>
      <c r="AS279" s="350">
        <v>99.5</v>
      </c>
      <c r="AT279" s="350">
        <v>99.3</v>
      </c>
    </row>
    <row r="280" spans="38:46">
      <c r="AL280" s="346">
        <v>15</v>
      </c>
      <c r="AM280" s="342" t="s">
        <v>11</v>
      </c>
      <c r="AN280" s="346">
        <v>15660</v>
      </c>
      <c r="AO280" s="342" t="s">
        <v>1030</v>
      </c>
      <c r="AP280" t="s">
        <v>1348</v>
      </c>
      <c r="AQ280">
        <v>15660</v>
      </c>
      <c r="AR280" s="350">
        <v>94.84</v>
      </c>
      <c r="AS280" s="350">
        <v>99.6</v>
      </c>
      <c r="AT280" s="350">
        <v>91.19</v>
      </c>
    </row>
    <row r="281" spans="38:46">
      <c r="AL281" s="345">
        <v>15</v>
      </c>
      <c r="AM281" s="341" t="s">
        <v>11</v>
      </c>
      <c r="AN281" s="345">
        <v>15664</v>
      </c>
      <c r="AO281" s="341" t="s">
        <v>1034</v>
      </c>
      <c r="AP281" t="s">
        <v>1349</v>
      </c>
      <c r="AQ281">
        <v>15664</v>
      </c>
      <c r="AR281" s="350">
        <v>97.68</v>
      </c>
      <c r="AS281" s="350">
        <v>97.55</v>
      </c>
      <c r="AT281" s="350">
        <v>97.71</v>
      </c>
    </row>
    <row r="282" spans="38:46">
      <c r="AL282" s="346">
        <v>15</v>
      </c>
      <c r="AM282" s="342" t="s">
        <v>11</v>
      </c>
      <c r="AN282" s="346">
        <v>15667</v>
      </c>
      <c r="AO282" s="342" t="s">
        <v>1039</v>
      </c>
      <c r="AP282" t="s">
        <v>1350</v>
      </c>
      <c r="AQ282">
        <v>15667</v>
      </c>
      <c r="AR282" s="350">
        <v>94.94</v>
      </c>
      <c r="AS282" s="350">
        <v>98.95</v>
      </c>
      <c r="AT282" s="350">
        <v>91.45</v>
      </c>
    </row>
    <row r="283" spans="38:46">
      <c r="AL283" s="345">
        <v>15</v>
      </c>
      <c r="AM283" s="341" t="s">
        <v>11</v>
      </c>
      <c r="AN283" s="345">
        <v>15673</v>
      </c>
      <c r="AO283" s="341" t="s">
        <v>1044</v>
      </c>
      <c r="AP283" t="s">
        <v>1351</v>
      </c>
      <c r="AQ283">
        <v>15673</v>
      </c>
      <c r="AR283" s="350">
        <v>96.95</v>
      </c>
      <c r="AS283" s="350">
        <v>99.74</v>
      </c>
      <c r="AT283" s="350">
        <v>95.57</v>
      </c>
    </row>
    <row r="284" spans="38:46">
      <c r="AL284" s="346">
        <v>15</v>
      </c>
      <c r="AM284" s="342" t="s">
        <v>11</v>
      </c>
      <c r="AN284" s="346">
        <v>15676</v>
      </c>
      <c r="AO284" s="342" t="s">
        <v>1049</v>
      </c>
      <c r="AP284" t="s">
        <v>1352</v>
      </c>
      <c r="AQ284">
        <v>15676</v>
      </c>
      <c r="AR284" s="350">
        <v>96.22</v>
      </c>
      <c r="AS284" s="350">
        <v>96.97</v>
      </c>
      <c r="AT284" s="350">
        <v>96.1</v>
      </c>
    </row>
    <row r="285" spans="38:46">
      <c r="AL285" s="345">
        <v>15</v>
      </c>
      <c r="AM285" s="341" t="s">
        <v>11</v>
      </c>
      <c r="AN285" s="345">
        <v>15681</v>
      </c>
      <c r="AO285" s="341" t="s">
        <v>1053</v>
      </c>
      <c r="AP285" t="s">
        <v>1353</v>
      </c>
      <c r="AQ285">
        <v>15681</v>
      </c>
      <c r="AR285" s="350">
        <v>90.29</v>
      </c>
      <c r="AS285" s="350">
        <v>100</v>
      </c>
      <c r="AT285" s="350">
        <v>89.25</v>
      </c>
    </row>
    <row r="286" spans="38:46">
      <c r="AL286" s="346">
        <v>15</v>
      </c>
      <c r="AM286" s="342" t="s">
        <v>11</v>
      </c>
      <c r="AN286" s="346">
        <v>15686</v>
      </c>
      <c r="AO286" s="342" t="s">
        <v>1069</v>
      </c>
      <c r="AP286" t="s">
        <v>1354</v>
      </c>
      <c r="AQ286">
        <v>15686</v>
      </c>
      <c r="AR286" s="350">
        <v>96.11</v>
      </c>
      <c r="AS286" s="350">
        <v>99.09</v>
      </c>
      <c r="AT286" s="350">
        <v>94.51</v>
      </c>
    </row>
    <row r="287" spans="38:46">
      <c r="AL287" s="345">
        <v>15</v>
      </c>
      <c r="AM287" s="341" t="s">
        <v>11</v>
      </c>
      <c r="AN287" s="345">
        <v>15690</v>
      </c>
      <c r="AO287" s="341" t="s">
        <v>687</v>
      </c>
      <c r="AP287" t="s">
        <v>1355</v>
      </c>
      <c r="AQ287">
        <v>15690</v>
      </c>
      <c r="AR287" s="350">
        <v>96.5</v>
      </c>
      <c r="AS287" s="350">
        <v>97.92</v>
      </c>
      <c r="AT287" s="350">
        <v>94.08</v>
      </c>
    </row>
    <row r="288" spans="38:46">
      <c r="AL288" s="346">
        <v>15</v>
      </c>
      <c r="AM288" s="342" t="s">
        <v>11</v>
      </c>
      <c r="AN288" s="346">
        <v>15693</v>
      </c>
      <c r="AO288" s="342" t="s">
        <v>1060</v>
      </c>
      <c r="AP288" t="s">
        <v>1356</v>
      </c>
      <c r="AQ288">
        <v>15693</v>
      </c>
      <c r="AR288" s="350">
        <v>98.85</v>
      </c>
      <c r="AS288" s="350">
        <v>99.29</v>
      </c>
      <c r="AT288" s="350">
        <v>97.95</v>
      </c>
    </row>
    <row r="289" spans="38:46">
      <c r="AL289" s="345">
        <v>15</v>
      </c>
      <c r="AM289" s="341" t="s">
        <v>11</v>
      </c>
      <c r="AN289" s="345">
        <v>15696</v>
      </c>
      <c r="AO289" s="341" t="s">
        <v>1065</v>
      </c>
      <c r="AP289" t="s">
        <v>1357</v>
      </c>
      <c r="AQ289">
        <v>15696</v>
      </c>
      <c r="AR289" s="350">
        <v>97.66</v>
      </c>
      <c r="AS289" s="350">
        <v>99.6</v>
      </c>
      <c r="AT289" s="350">
        <v>96.97</v>
      </c>
    </row>
    <row r="290" spans="38:46">
      <c r="AL290" s="346">
        <v>15</v>
      </c>
      <c r="AM290" s="342" t="s">
        <v>11</v>
      </c>
      <c r="AN290" s="346">
        <v>15720</v>
      </c>
      <c r="AO290" s="342" t="s">
        <v>1072</v>
      </c>
      <c r="AP290" t="s">
        <v>1358</v>
      </c>
      <c r="AQ290">
        <v>15720</v>
      </c>
      <c r="AR290" s="350">
        <v>96.52</v>
      </c>
      <c r="AS290" s="350">
        <v>97.99</v>
      </c>
      <c r="AT290" s="350">
        <v>95.83</v>
      </c>
    </row>
    <row r="291" spans="38:46">
      <c r="AL291" s="345">
        <v>15</v>
      </c>
      <c r="AM291" s="341" t="s">
        <v>11</v>
      </c>
      <c r="AN291" s="345">
        <v>15723</v>
      </c>
      <c r="AO291" s="341" t="s">
        <v>1075</v>
      </c>
      <c r="AP291" t="s">
        <v>1359</v>
      </c>
      <c r="AQ291">
        <v>15723</v>
      </c>
      <c r="AR291" s="350">
        <v>97.63</v>
      </c>
      <c r="AS291" s="350">
        <v>98.95</v>
      </c>
      <c r="AT291" s="350">
        <v>97.11</v>
      </c>
    </row>
    <row r="292" spans="38:46">
      <c r="AL292" s="346">
        <v>15</v>
      </c>
      <c r="AM292" s="342" t="s">
        <v>11</v>
      </c>
      <c r="AN292" s="346">
        <v>15740</v>
      </c>
      <c r="AO292" s="342" t="s">
        <v>1079</v>
      </c>
      <c r="AP292" t="s">
        <v>1360</v>
      </c>
      <c r="AQ292">
        <v>15740</v>
      </c>
      <c r="AR292" s="350">
        <v>98.42</v>
      </c>
      <c r="AS292" s="350">
        <v>98.04</v>
      </c>
      <c r="AT292" s="350">
        <v>98.51</v>
      </c>
    </row>
    <row r="293" spans="38:46">
      <c r="AL293" s="345">
        <v>15</v>
      </c>
      <c r="AM293" s="341" t="s">
        <v>11</v>
      </c>
      <c r="AN293" s="345">
        <v>15753</v>
      </c>
      <c r="AO293" s="341" t="s">
        <v>1083</v>
      </c>
      <c r="AP293" t="s">
        <v>1361</v>
      </c>
      <c r="AQ293">
        <v>15753</v>
      </c>
      <c r="AR293" s="350">
        <v>99</v>
      </c>
      <c r="AS293" s="350">
        <v>99.78</v>
      </c>
      <c r="AT293" s="350">
        <v>97.05</v>
      </c>
    </row>
    <row r="294" spans="38:46">
      <c r="AL294" s="346">
        <v>15</v>
      </c>
      <c r="AM294" s="342" t="s">
        <v>11</v>
      </c>
      <c r="AN294" s="346">
        <v>15755</v>
      </c>
      <c r="AO294" s="342" t="s">
        <v>1090</v>
      </c>
      <c r="AP294" t="s">
        <v>1362</v>
      </c>
      <c r="AQ294">
        <v>15755</v>
      </c>
      <c r="AR294" s="350">
        <v>91.8</v>
      </c>
      <c r="AS294" s="350">
        <v>99.51</v>
      </c>
      <c r="AT294" s="350">
        <v>90.05</v>
      </c>
    </row>
    <row r="295" spans="38:46">
      <c r="AL295" s="345">
        <v>15</v>
      </c>
      <c r="AM295" s="341" t="s">
        <v>11</v>
      </c>
      <c r="AN295" s="345">
        <v>15757</v>
      </c>
      <c r="AO295" s="341" t="s">
        <v>1087</v>
      </c>
      <c r="AP295" t="s">
        <v>1363</v>
      </c>
      <c r="AQ295">
        <v>15757</v>
      </c>
      <c r="AR295" s="350">
        <v>98.37</v>
      </c>
      <c r="AS295" s="350">
        <v>99.71</v>
      </c>
      <c r="AT295" s="350">
        <v>96.72</v>
      </c>
    </row>
    <row r="296" spans="38:46">
      <c r="AL296" s="346">
        <v>15</v>
      </c>
      <c r="AM296" s="342" t="s">
        <v>11</v>
      </c>
      <c r="AN296" s="346">
        <v>15759</v>
      </c>
      <c r="AO296" s="342" t="s">
        <v>1094</v>
      </c>
      <c r="AP296" t="s">
        <v>1364</v>
      </c>
      <c r="AQ296">
        <v>15759</v>
      </c>
      <c r="AR296" s="350">
        <v>99.15</v>
      </c>
      <c r="AS296" s="350">
        <v>99.58</v>
      </c>
      <c r="AT296" s="350">
        <v>95.42</v>
      </c>
    </row>
    <row r="297" spans="38:46">
      <c r="AL297" s="345">
        <v>15</v>
      </c>
      <c r="AM297" s="341" t="s">
        <v>11</v>
      </c>
      <c r="AN297" s="345">
        <v>15761</v>
      </c>
      <c r="AO297" s="341" t="s">
        <v>1098</v>
      </c>
      <c r="AP297" t="s">
        <v>1365</v>
      </c>
      <c r="AQ297">
        <v>15761</v>
      </c>
      <c r="AR297" s="350">
        <v>97.22</v>
      </c>
      <c r="AS297" s="350">
        <v>99.09</v>
      </c>
      <c r="AT297" s="350">
        <v>96.7</v>
      </c>
    </row>
    <row r="298" spans="38:46">
      <c r="AL298" s="346">
        <v>15</v>
      </c>
      <c r="AM298" s="342" t="s">
        <v>11</v>
      </c>
      <c r="AN298" s="346">
        <v>15762</v>
      </c>
      <c r="AO298" s="342" t="s">
        <v>1102</v>
      </c>
      <c r="AP298" t="s">
        <v>1366</v>
      </c>
      <c r="AQ298">
        <v>15762</v>
      </c>
      <c r="AR298" s="350">
        <v>98.08</v>
      </c>
      <c r="AS298" s="350">
        <v>99.35</v>
      </c>
      <c r="AT298" s="350">
        <v>97.8</v>
      </c>
    </row>
    <row r="299" spans="38:46">
      <c r="AL299" s="345">
        <v>15</v>
      </c>
      <c r="AM299" s="341" t="s">
        <v>11</v>
      </c>
      <c r="AN299" s="345">
        <v>15763</v>
      </c>
      <c r="AO299" s="341" t="s">
        <v>1110</v>
      </c>
      <c r="AP299" t="s">
        <v>1367</v>
      </c>
      <c r="AQ299">
        <v>15763</v>
      </c>
      <c r="AR299" s="350">
        <v>94.96</v>
      </c>
      <c r="AS299" s="350">
        <v>98.06</v>
      </c>
      <c r="AT299" s="350">
        <v>94.6</v>
      </c>
    </row>
    <row r="300" spans="38:46">
      <c r="AL300" s="346">
        <v>15</v>
      </c>
      <c r="AM300" s="342" t="s">
        <v>11</v>
      </c>
      <c r="AN300" s="346">
        <v>15764</v>
      </c>
      <c r="AO300" s="342" t="s">
        <v>1106</v>
      </c>
      <c r="AP300" t="s">
        <v>1368</v>
      </c>
      <c r="AQ300">
        <v>15764</v>
      </c>
      <c r="AR300" s="350">
        <v>97.66</v>
      </c>
      <c r="AS300" s="350">
        <v>99.03</v>
      </c>
      <c r="AT300" s="350">
        <v>97.21</v>
      </c>
    </row>
    <row r="301" spans="38:46">
      <c r="AL301" s="345">
        <v>15</v>
      </c>
      <c r="AM301" s="341" t="s">
        <v>11</v>
      </c>
      <c r="AN301" s="345">
        <v>15774</v>
      </c>
      <c r="AO301" s="341" t="s">
        <v>1113</v>
      </c>
      <c r="AP301" t="s">
        <v>1369</v>
      </c>
      <c r="AQ301">
        <v>15774</v>
      </c>
      <c r="AR301" s="350">
        <v>95.89</v>
      </c>
      <c r="AS301" s="350">
        <v>98.51</v>
      </c>
      <c r="AT301" s="350">
        <v>95.16</v>
      </c>
    </row>
    <row r="302" spans="38:46">
      <c r="AL302" s="346">
        <v>15</v>
      </c>
      <c r="AM302" s="342" t="s">
        <v>11</v>
      </c>
      <c r="AN302" s="346">
        <v>15776</v>
      </c>
      <c r="AO302" s="342" t="s">
        <v>1116</v>
      </c>
      <c r="AP302" t="s">
        <v>1370</v>
      </c>
      <c r="AQ302">
        <v>15776</v>
      </c>
      <c r="AR302" s="350">
        <v>96.24</v>
      </c>
      <c r="AS302" s="350">
        <v>97.97</v>
      </c>
      <c r="AT302" s="350">
        <v>95.27</v>
      </c>
    </row>
    <row r="303" spans="38:46">
      <c r="AL303" s="345">
        <v>15</v>
      </c>
      <c r="AM303" s="341" t="s">
        <v>11</v>
      </c>
      <c r="AN303" s="345">
        <v>15778</v>
      </c>
      <c r="AO303" s="341" t="s">
        <v>1120</v>
      </c>
      <c r="AP303" t="s">
        <v>1371</v>
      </c>
      <c r="AQ303">
        <v>15778</v>
      </c>
      <c r="AR303" s="350">
        <v>94.12</v>
      </c>
      <c r="AS303" s="350">
        <v>98.7</v>
      </c>
      <c r="AT303" s="350">
        <v>93.08</v>
      </c>
    </row>
    <row r="304" spans="38:46">
      <c r="AL304" s="346">
        <v>15</v>
      </c>
      <c r="AM304" s="342" t="s">
        <v>11</v>
      </c>
      <c r="AN304" s="346">
        <v>15790</v>
      </c>
      <c r="AO304" s="342" t="s">
        <v>1124</v>
      </c>
      <c r="AP304" t="s">
        <v>1372</v>
      </c>
      <c r="AQ304">
        <v>15790</v>
      </c>
      <c r="AR304" s="350">
        <v>98.7</v>
      </c>
      <c r="AS304" s="350">
        <v>99.58</v>
      </c>
      <c r="AT304" s="350">
        <v>98.35</v>
      </c>
    </row>
    <row r="305" spans="38:46">
      <c r="AL305" s="345">
        <v>15</v>
      </c>
      <c r="AM305" s="341" t="s">
        <v>11</v>
      </c>
      <c r="AN305" s="345">
        <v>15798</v>
      </c>
      <c r="AO305" s="341" t="s">
        <v>1128</v>
      </c>
      <c r="AP305" t="s">
        <v>1373</v>
      </c>
      <c r="AQ305">
        <v>15798</v>
      </c>
      <c r="AR305" s="350">
        <v>97.94</v>
      </c>
      <c r="AS305" s="350">
        <v>100</v>
      </c>
      <c r="AT305" s="350">
        <v>97.06</v>
      </c>
    </row>
    <row r="306" spans="38:46">
      <c r="AL306" s="346">
        <v>15</v>
      </c>
      <c r="AM306" s="342" t="s">
        <v>11</v>
      </c>
      <c r="AN306" s="346">
        <v>15804</v>
      </c>
      <c r="AO306" s="342" t="s">
        <v>1132</v>
      </c>
      <c r="AP306" t="s">
        <v>1374</v>
      </c>
      <c r="AQ306">
        <v>15804</v>
      </c>
      <c r="AR306" s="350">
        <v>95.25</v>
      </c>
      <c r="AS306" s="350">
        <v>99.33</v>
      </c>
      <c r="AT306" s="350">
        <v>94.13</v>
      </c>
    </row>
    <row r="307" spans="38:46">
      <c r="AL307" s="345">
        <v>15</v>
      </c>
      <c r="AM307" s="341" t="s">
        <v>11</v>
      </c>
      <c r="AN307" s="345">
        <v>15806</v>
      </c>
      <c r="AO307" s="341" t="s">
        <v>1136</v>
      </c>
      <c r="AP307" t="s">
        <v>1375</v>
      </c>
      <c r="AQ307">
        <v>15806</v>
      </c>
      <c r="AR307" s="350">
        <v>99.38</v>
      </c>
      <c r="AS307" s="350">
        <v>99.56</v>
      </c>
      <c r="AT307" s="350">
        <v>99.26</v>
      </c>
    </row>
    <row r="308" spans="38:46">
      <c r="AL308" s="346">
        <v>15</v>
      </c>
      <c r="AM308" s="342" t="s">
        <v>11</v>
      </c>
      <c r="AN308" s="346">
        <v>15808</v>
      </c>
      <c r="AO308" s="342" t="s">
        <v>1140</v>
      </c>
      <c r="AP308" t="s">
        <v>1376</v>
      </c>
      <c r="AQ308">
        <v>15808</v>
      </c>
      <c r="AR308" s="350">
        <v>95.54</v>
      </c>
      <c r="AS308" s="350">
        <v>99.17</v>
      </c>
      <c r="AT308" s="350">
        <v>94.4</v>
      </c>
    </row>
    <row r="309" spans="38:46">
      <c r="AL309" s="345">
        <v>15</v>
      </c>
      <c r="AM309" s="341" t="s">
        <v>11</v>
      </c>
      <c r="AN309" s="345">
        <v>15810</v>
      </c>
      <c r="AO309" s="341" t="s">
        <v>1144</v>
      </c>
      <c r="AP309" t="s">
        <v>1377</v>
      </c>
      <c r="AQ309">
        <v>15810</v>
      </c>
      <c r="AR309" s="350">
        <v>92.19</v>
      </c>
      <c r="AS309" s="350">
        <v>96.83</v>
      </c>
      <c r="AT309" s="350">
        <v>90.35</v>
      </c>
    </row>
    <row r="310" spans="38:46">
      <c r="AL310" s="346">
        <v>15</v>
      </c>
      <c r="AM310" s="342" t="s">
        <v>11</v>
      </c>
      <c r="AN310" s="346">
        <v>15814</v>
      </c>
      <c r="AO310" s="342" t="s">
        <v>1148</v>
      </c>
      <c r="AP310" t="s">
        <v>1378</v>
      </c>
      <c r="AQ310">
        <v>15814</v>
      </c>
      <c r="AR310" s="350">
        <v>98.28</v>
      </c>
      <c r="AS310" s="350">
        <v>99.31</v>
      </c>
      <c r="AT310" s="350">
        <v>97.31</v>
      </c>
    </row>
    <row r="311" spans="38:46">
      <c r="AL311" s="345">
        <v>15</v>
      </c>
      <c r="AM311" s="341" t="s">
        <v>11</v>
      </c>
      <c r="AN311" s="345">
        <v>15816</v>
      </c>
      <c r="AO311" s="341" t="s">
        <v>1152</v>
      </c>
      <c r="AP311" t="s">
        <v>1379</v>
      </c>
      <c r="AQ311">
        <v>15816</v>
      </c>
      <c r="AR311" s="350">
        <v>95.73</v>
      </c>
      <c r="AS311" s="350">
        <v>99.05</v>
      </c>
      <c r="AT311" s="350">
        <v>95.11</v>
      </c>
    </row>
    <row r="312" spans="38:46">
      <c r="AL312" s="346">
        <v>15</v>
      </c>
      <c r="AM312" s="342" t="s">
        <v>11</v>
      </c>
      <c r="AN312" s="346">
        <v>15820</v>
      </c>
      <c r="AO312" s="342" t="s">
        <v>1155</v>
      </c>
      <c r="AP312" t="s">
        <v>1380</v>
      </c>
      <c r="AQ312">
        <v>15820</v>
      </c>
      <c r="AR312" s="350">
        <v>97.51</v>
      </c>
      <c r="AS312" s="350">
        <v>97.75</v>
      </c>
      <c r="AT312" s="350">
        <v>97.4</v>
      </c>
    </row>
    <row r="313" spans="38:46">
      <c r="AL313" s="345">
        <v>15</v>
      </c>
      <c r="AM313" s="341" t="s">
        <v>11</v>
      </c>
      <c r="AN313" s="345">
        <v>15822</v>
      </c>
      <c r="AO313" s="341" t="s">
        <v>1159</v>
      </c>
      <c r="AP313" t="s">
        <v>1381</v>
      </c>
      <c r="AQ313">
        <v>15822</v>
      </c>
      <c r="AR313" s="350">
        <v>92.79</v>
      </c>
      <c r="AS313" s="350">
        <v>98.53</v>
      </c>
      <c r="AT313" s="350">
        <v>91.44</v>
      </c>
    </row>
    <row r="314" spans="38:46">
      <c r="AL314" s="346">
        <v>15</v>
      </c>
      <c r="AM314" s="342" t="s">
        <v>11</v>
      </c>
      <c r="AN314" s="346">
        <v>15832</v>
      </c>
      <c r="AO314" s="342" t="s">
        <v>1167</v>
      </c>
      <c r="AP314" t="s">
        <v>1382</v>
      </c>
      <c r="AQ314">
        <v>15832</v>
      </c>
      <c r="AR314" s="350">
        <v>87.27</v>
      </c>
      <c r="AS314" s="350">
        <v>97.47</v>
      </c>
      <c r="AT314" s="350">
        <v>85.34</v>
      </c>
    </row>
    <row r="315" spans="38:46">
      <c r="AL315" s="345">
        <v>15</v>
      </c>
      <c r="AM315" s="341" t="s">
        <v>11</v>
      </c>
      <c r="AN315" s="345">
        <v>15835</v>
      </c>
      <c r="AO315" s="341" t="s">
        <v>1171</v>
      </c>
      <c r="AP315" t="s">
        <v>1383</v>
      </c>
      <c r="AQ315">
        <v>15835</v>
      </c>
      <c r="AR315" s="350">
        <v>97.44</v>
      </c>
      <c r="AS315" s="350">
        <v>99.15</v>
      </c>
      <c r="AT315" s="350">
        <v>96.5</v>
      </c>
    </row>
    <row r="316" spans="38:46">
      <c r="AL316" s="346">
        <v>15</v>
      </c>
      <c r="AM316" s="342" t="s">
        <v>11</v>
      </c>
      <c r="AN316" s="346">
        <v>15837</v>
      </c>
      <c r="AO316" s="342" t="s">
        <v>1174</v>
      </c>
      <c r="AP316" t="s">
        <v>1384</v>
      </c>
      <c r="AQ316">
        <v>15837</v>
      </c>
      <c r="AR316" s="350">
        <v>98.12</v>
      </c>
      <c r="AS316" s="350">
        <v>99.71</v>
      </c>
      <c r="AT316" s="350">
        <v>97.5</v>
      </c>
    </row>
    <row r="317" spans="38:46">
      <c r="AL317" s="345">
        <v>15</v>
      </c>
      <c r="AM317" s="341" t="s">
        <v>11</v>
      </c>
      <c r="AN317" s="345">
        <v>15839</v>
      </c>
      <c r="AO317" s="341" t="s">
        <v>1177</v>
      </c>
      <c r="AP317" t="s">
        <v>1385</v>
      </c>
      <c r="AQ317">
        <v>15839</v>
      </c>
      <c r="AR317" s="350">
        <v>94.88</v>
      </c>
      <c r="AS317" s="350">
        <v>98.36</v>
      </c>
      <c r="AT317" s="350">
        <v>94.48</v>
      </c>
    </row>
    <row r="318" spans="38:46">
      <c r="AL318" s="346">
        <v>15</v>
      </c>
      <c r="AM318" s="342" t="s">
        <v>11</v>
      </c>
      <c r="AN318" s="346">
        <v>15842</v>
      </c>
      <c r="AO318" s="342" t="s">
        <v>1179</v>
      </c>
      <c r="AP318" t="s">
        <v>1386</v>
      </c>
      <c r="AQ318">
        <v>15842</v>
      </c>
      <c r="AR318" s="350">
        <v>98.99</v>
      </c>
      <c r="AS318" s="350">
        <v>99.39</v>
      </c>
      <c r="AT318" s="350">
        <v>98.93</v>
      </c>
    </row>
    <row r="319" spans="38:46">
      <c r="AL319" s="345">
        <v>15</v>
      </c>
      <c r="AM319" s="341" t="s">
        <v>11</v>
      </c>
      <c r="AN319" s="345">
        <v>15861</v>
      </c>
      <c r="AO319" s="341" t="s">
        <v>1182</v>
      </c>
      <c r="AP319" t="s">
        <v>1387</v>
      </c>
      <c r="AQ319">
        <v>15861</v>
      </c>
      <c r="AR319" s="350">
        <v>98.68</v>
      </c>
      <c r="AS319" s="350">
        <v>98.6</v>
      </c>
      <c r="AT319" s="350">
        <v>98.69</v>
      </c>
    </row>
    <row r="320" spans="38:46">
      <c r="AL320" s="346">
        <v>15</v>
      </c>
      <c r="AM320" s="342" t="s">
        <v>11</v>
      </c>
      <c r="AN320" s="346">
        <v>15879</v>
      </c>
      <c r="AO320" s="342" t="s">
        <v>1188</v>
      </c>
      <c r="AP320" t="s">
        <v>1388</v>
      </c>
      <c r="AQ320">
        <v>15879</v>
      </c>
      <c r="AR320" s="350">
        <v>98.21</v>
      </c>
      <c r="AS320" s="350">
        <v>98.01</v>
      </c>
      <c r="AT320" s="350">
        <v>98.26</v>
      </c>
    </row>
    <row r="321" spans="38:46">
      <c r="AL321" s="345">
        <v>15</v>
      </c>
      <c r="AM321" s="341" t="s">
        <v>11</v>
      </c>
      <c r="AN321" s="345">
        <v>15897</v>
      </c>
      <c r="AO321" s="341" t="s">
        <v>1191</v>
      </c>
      <c r="AP321" t="s">
        <v>1389</v>
      </c>
      <c r="AQ321">
        <v>15897</v>
      </c>
      <c r="AR321" s="350">
        <v>90.18</v>
      </c>
      <c r="AS321" s="350">
        <v>97.08</v>
      </c>
      <c r="AT321" s="350">
        <v>88.08</v>
      </c>
    </row>
    <row r="322" spans="38:46">
      <c r="AL322" s="346">
        <v>17</v>
      </c>
      <c r="AM322" s="342" t="s">
        <v>12</v>
      </c>
      <c r="AN322" s="346">
        <v>17001</v>
      </c>
      <c r="AO322" s="342" t="s">
        <v>283</v>
      </c>
      <c r="AP322" t="s">
        <v>1390</v>
      </c>
      <c r="AQ322">
        <v>17001</v>
      </c>
      <c r="AR322" s="350">
        <v>99.02</v>
      </c>
      <c r="AS322" s="350">
        <v>99.17</v>
      </c>
      <c r="AT322" s="350">
        <v>96.51</v>
      </c>
    </row>
    <row r="323" spans="38:46">
      <c r="AL323" s="345">
        <v>17</v>
      </c>
      <c r="AM323" s="341" t="s">
        <v>12</v>
      </c>
      <c r="AN323" s="345">
        <v>17013</v>
      </c>
      <c r="AO323" s="341" t="s">
        <v>51</v>
      </c>
      <c r="AP323" t="s">
        <v>1391</v>
      </c>
      <c r="AQ323">
        <v>17013</v>
      </c>
      <c r="AR323" s="350">
        <v>99.21</v>
      </c>
      <c r="AS323" s="350">
        <v>99.66</v>
      </c>
      <c r="AT323" s="350">
        <v>98.73</v>
      </c>
    </row>
    <row r="324" spans="38:46">
      <c r="AL324" s="346">
        <v>17</v>
      </c>
      <c r="AM324" s="342" t="s">
        <v>12</v>
      </c>
      <c r="AN324" s="346">
        <v>17042</v>
      </c>
      <c r="AO324" s="342" t="s">
        <v>84</v>
      </c>
      <c r="AP324" t="s">
        <v>1392</v>
      </c>
      <c r="AQ324">
        <v>17042</v>
      </c>
      <c r="AR324" s="350">
        <v>99.09</v>
      </c>
      <c r="AS324" s="350">
        <v>99.51</v>
      </c>
      <c r="AT324" s="350">
        <v>98.4</v>
      </c>
    </row>
    <row r="325" spans="38:46">
      <c r="AL325" s="345">
        <v>17</v>
      </c>
      <c r="AM325" s="341" t="s">
        <v>12</v>
      </c>
      <c r="AN325" s="345">
        <v>17050</v>
      </c>
      <c r="AO325" s="341" t="s">
        <v>112</v>
      </c>
      <c r="AP325" t="s">
        <v>1393</v>
      </c>
      <c r="AQ325">
        <v>17050</v>
      </c>
      <c r="AR325" s="350">
        <v>99.58</v>
      </c>
      <c r="AS325" s="350">
        <v>99.78</v>
      </c>
      <c r="AT325" s="350">
        <v>99.17</v>
      </c>
    </row>
    <row r="326" spans="38:46">
      <c r="AL326" s="346">
        <v>17</v>
      </c>
      <c r="AM326" s="342" t="s">
        <v>12</v>
      </c>
      <c r="AN326" s="346">
        <v>17088</v>
      </c>
      <c r="AO326" s="342" t="s">
        <v>143</v>
      </c>
      <c r="AP326" t="s">
        <v>1394</v>
      </c>
      <c r="AQ326">
        <v>17088</v>
      </c>
      <c r="AR326" s="350">
        <v>97.34</v>
      </c>
      <c r="AS326" s="350">
        <v>99.65</v>
      </c>
      <c r="AT326" s="350">
        <v>95.19</v>
      </c>
    </row>
    <row r="327" spans="38:46">
      <c r="AL327" s="345">
        <v>17</v>
      </c>
      <c r="AM327" s="341" t="s">
        <v>12</v>
      </c>
      <c r="AN327" s="345">
        <v>17174</v>
      </c>
      <c r="AO327" s="341" t="s">
        <v>173</v>
      </c>
      <c r="AP327" t="s">
        <v>1395</v>
      </c>
      <c r="AQ327">
        <v>17174</v>
      </c>
      <c r="AR327" s="350">
        <v>99.63</v>
      </c>
      <c r="AS327" s="350">
        <v>99.69</v>
      </c>
      <c r="AT327" s="350">
        <v>99.09</v>
      </c>
    </row>
    <row r="328" spans="38:46">
      <c r="AL328" s="346">
        <v>17</v>
      </c>
      <c r="AM328" s="342" t="s">
        <v>12</v>
      </c>
      <c r="AN328" s="346">
        <v>17272</v>
      </c>
      <c r="AO328" s="342" t="s">
        <v>201</v>
      </c>
      <c r="AP328" t="s">
        <v>1396</v>
      </c>
      <c r="AQ328">
        <v>17272</v>
      </c>
      <c r="AR328" s="350">
        <v>99.19</v>
      </c>
      <c r="AS328" s="350">
        <v>99.77</v>
      </c>
      <c r="AT328" s="350">
        <v>98.8</v>
      </c>
    </row>
    <row r="329" spans="38:46">
      <c r="AL329" s="345">
        <v>17</v>
      </c>
      <c r="AM329" s="341" t="s">
        <v>12</v>
      </c>
      <c r="AN329" s="345">
        <v>17380</v>
      </c>
      <c r="AO329" s="341" t="s">
        <v>229</v>
      </c>
      <c r="AP329" t="s">
        <v>1397</v>
      </c>
      <c r="AQ329">
        <v>17380</v>
      </c>
      <c r="AR329" s="350">
        <v>96.25</v>
      </c>
      <c r="AS329" s="350">
        <v>96.49</v>
      </c>
      <c r="AT329" s="350">
        <v>94.12</v>
      </c>
    </row>
    <row r="330" spans="38:46">
      <c r="AL330" s="346">
        <v>17</v>
      </c>
      <c r="AM330" s="342" t="s">
        <v>12</v>
      </c>
      <c r="AN330" s="346">
        <v>17388</v>
      </c>
      <c r="AO330" s="342" t="s">
        <v>256</v>
      </c>
      <c r="AP330" t="s">
        <v>1398</v>
      </c>
      <c r="AQ330">
        <v>17388</v>
      </c>
      <c r="AR330" s="350">
        <v>99.08</v>
      </c>
      <c r="AS330" s="350">
        <v>99.59</v>
      </c>
      <c r="AT330" s="350">
        <v>98.75</v>
      </c>
    </row>
    <row r="331" spans="38:46">
      <c r="AL331" s="345">
        <v>17</v>
      </c>
      <c r="AM331" s="341" t="s">
        <v>12</v>
      </c>
      <c r="AN331" s="345">
        <v>17433</v>
      </c>
      <c r="AO331" s="341" t="s">
        <v>308</v>
      </c>
      <c r="AP331" t="s">
        <v>1399</v>
      </c>
      <c r="AQ331">
        <v>17433</v>
      </c>
      <c r="AR331" s="350">
        <v>98.81</v>
      </c>
      <c r="AS331" s="350">
        <v>99.18</v>
      </c>
      <c r="AT331" s="350">
        <v>98.3</v>
      </c>
    </row>
    <row r="332" spans="38:46">
      <c r="AL332" s="346">
        <v>17</v>
      </c>
      <c r="AM332" s="342" t="s">
        <v>12</v>
      </c>
      <c r="AN332" s="346">
        <v>17442</v>
      </c>
      <c r="AO332" s="342" t="s">
        <v>333</v>
      </c>
      <c r="AP332" t="s">
        <v>1400</v>
      </c>
      <c r="AQ332">
        <v>17442</v>
      </c>
      <c r="AR332" s="350">
        <v>96.76</v>
      </c>
      <c r="AS332" s="350">
        <v>91.28</v>
      </c>
      <c r="AT332" s="350">
        <v>97.53</v>
      </c>
    </row>
    <row r="333" spans="38:46">
      <c r="AL333" s="345">
        <v>17</v>
      </c>
      <c r="AM333" s="341" t="s">
        <v>12</v>
      </c>
      <c r="AN333" s="345">
        <v>17444</v>
      </c>
      <c r="AO333" s="341" t="s">
        <v>357</v>
      </c>
      <c r="AP333" t="s">
        <v>1401</v>
      </c>
      <c r="AQ333">
        <v>17444</v>
      </c>
      <c r="AR333" s="350">
        <v>98.82</v>
      </c>
      <c r="AS333" s="350">
        <v>99.29</v>
      </c>
      <c r="AT333" s="350">
        <v>98.38</v>
      </c>
    </row>
    <row r="334" spans="38:46">
      <c r="AL334" s="346">
        <v>17</v>
      </c>
      <c r="AM334" s="342" t="s">
        <v>12</v>
      </c>
      <c r="AN334" s="346">
        <v>17446</v>
      </c>
      <c r="AO334" s="342" t="s">
        <v>380</v>
      </c>
      <c r="AP334" t="s">
        <v>1402</v>
      </c>
      <c r="AQ334">
        <v>17446</v>
      </c>
      <c r="AR334" s="350">
        <v>98.64</v>
      </c>
      <c r="AS334" s="350">
        <v>99.62</v>
      </c>
      <c r="AT334" s="350">
        <v>98.11</v>
      </c>
    </row>
    <row r="335" spans="38:46">
      <c r="AL335" s="345">
        <v>17</v>
      </c>
      <c r="AM335" s="341" t="s">
        <v>12</v>
      </c>
      <c r="AN335" s="345">
        <v>17486</v>
      </c>
      <c r="AO335" s="341" t="s">
        <v>403</v>
      </c>
      <c r="AP335" t="s">
        <v>1403</v>
      </c>
      <c r="AQ335">
        <v>17486</v>
      </c>
      <c r="AR335" s="350">
        <v>98.71</v>
      </c>
      <c r="AS335" s="350">
        <v>99.47</v>
      </c>
      <c r="AT335" s="350">
        <v>97.72</v>
      </c>
    </row>
    <row r="336" spans="38:46">
      <c r="AL336" s="346">
        <v>17</v>
      </c>
      <c r="AM336" s="342" t="s">
        <v>12</v>
      </c>
      <c r="AN336" s="346">
        <v>17495</v>
      </c>
      <c r="AO336" s="342" t="s">
        <v>426</v>
      </c>
      <c r="AP336" t="s">
        <v>1404</v>
      </c>
      <c r="AQ336">
        <v>17495</v>
      </c>
      <c r="AR336" s="350">
        <v>97.58</v>
      </c>
      <c r="AS336" s="350">
        <v>99.32</v>
      </c>
      <c r="AT336" s="350">
        <v>93.91</v>
      </c>
    </row>
    <row r="337" spans="38:46">
      <c r="AL337" s="345">
        <v>17</v>
      </c>
      <c r="AM337" s="341" t="s">
        <v>12</v>
      </c>
      <c r="AN337" s="345">
        <v>17513</v>
      </c>
      <c r="AO337" s="341" t="s">
        <v>449</v>
      </c>
      <c r="AP337" t="s">
        <v>1405</v>
      </c>
      <c r="AQ337">
        <v>17513</v>
      </c>
      <c r="AR337" s="350">
        <v>99.11</v>
      </c>
      <c r="AS337" s="350">
        <v>99.83</v>
      </c>
      <c r="AT337" s="350">
        <v>98.33</v>
      </c>
    </row>
    <row r="338" spans="38:46">
      <c r="AL338" s="346">
        <v>17</v>
      </c>
      <c r="AM338" s="342" t="s">
        <v>12</v>
      </c>
      <c r="AN338" s="346">
        <v>17524</v>
      </c>
      <c r="AO338" s="342" t="s">
        <v>470</v>
      </c>
      <c r="AP338" t="s">
        <v>1406</v>
      </c>
      <c r="AQ338">
        <v>17524</v>
      </c>
      <c r="AR338" s="350">
        <v>99.62</v>
      </c>
      <c r="AS338" s="350">
        <v>99.61</v>
      </c>
      <c r="AT338" s="350">
        <v>99.62</v>
      </c>
    </row>
    <row r="339" spans="38:46">
      <c r="AL339" s="345">
        <v>17</v>
      </c>
      <c r="AM339" s="341" t="s">
        <v>12</v>
      </c>
      <c r="AN339" s="345">
        <v>17541</v>
      </c>
      <c r="AO339" s="341" t="s">
        <v>491</v>
      </c>
      <c r="AP339" t="s">
        <v>1407</v>
      </c>
      <c r="AQ339">
        <v>17541</v>
      </c>
      <c r="AR339" s="350">
        <v>99.12</v>
      </c>
      <c r="AS339" s="350">
        <v>99.71</v>
      </c>
      <c r="AT339" s="350">
        <v>98.72</v>
      </c>
    </row>
    <row r="340" spans="38:46">
      <c r="AL340" s="346">
        <v>17</v>
      </c>
      <c r="AM340" s="342" t="s">
        <v>12</v>
      </c>
      <c r="AN340" s="346">
        <v>17614</v>
      </c>
      <c r="AO340" s="342" t="s">
        <v>510</v>
      </c>
      <c r="AP340" t="s">
        <v>1408</v>
      </c>
      <c r="AQ340">
        <v>17614</v>
      </c>
      <c r="AR340" s="350">
        <v>98.09</v>
      </c>
      <c r="AS340" s="350">
        <v>99.56</v>
      </c>
      <c r="AT340" s="350">
        <v>97.07</v>
      </c>
    </row>
    <row r="341" spans="38:46">
      <c r="AL341" s="345">
        <v>17</v>
      </c>
      <c r="AM341" s="341" t="s">
        <v>12</v>
      </c>
      <c r="AN341" s="345">
        <v>17616</v>
      </c>
      <c r="AO341" s="341" t="s">
        <v>30</v>
      </c>
      <c r="AP341" t="s">
        <v>1409</v>
      </c>
      <c r="AQ341">
        <v>17616</v>
      </c>
      <c r="AR341" s="350">
        <v>96.93</v>
      </c>
      <c r="AS341" s="350">
        <v>99.27</v>
      </c>
      <c r="AT341" s="350">
        <v>95.17</v>
      </c>
    </row>
    <row r="342" spans="38:46">
      <c r="AL342" s="346">
        <v>17</v>
      </c>
      <c r="AM342" s="342" t="s">
        <v>12</v>
      </c>
      <c r="AN342" s="346">
        <v>17653</v>
      </c>
      <c r="AO342" s="342" t="s">
        <v>548</v>
      </c>
      <c r="AP342" t="s">
        <v>1410</v>
      </c>
      <c r="AQ342">
        <v>17653</v>
      </c>
      <c r="AR342" s="350">
        <v>98.58</v>
      </c>
      <c r="AS342" s="350">
        <v>98.95</v>
      </c>
      <c r="AT342" s="350">
        <v>97.93</v>
      </c>
    </row>
    <row r="343" spans="38:46">
      <c r="AL343" s="345">
        <v>17</v>
      </c>
      <c r="AM343" s="341" t="s">
        <v>12</v>
      </c>
      <c r="AN343" s="345">
        <v>17662</v>
      </c>
      <c r="AO343" s="341" t="s">
        <v>565</v>
      </c>
      <c r="AP343" t="s">
        <v>1411</v>
      </c>
      <c r="AQ343">
        <v>17662</v>
      </c>
      <c r="AR343" s="350">
        <v>97.5</v>
      </c>
      <c r="AS343" s="350">
        <v>99.7</v>
      </c>
      <c r="AT343" s="350">
        <v>96.48</v>
      </c>
    </row>
    <row r="344" spans="38:46">
      <c r="AL344" s="346">
        <v>17</v>
      </c>
      <c r="AM344" s="342" t="s">
        <v>12</v>
      </c>
      <c r="AN344" s="346">
        <v>17665</v>
      </c>
      <c r="AO344" s="342" t="s">
        <v>586</v>
      </c>
      <c r="AP344" t="s">
        <v>1412</v>
      </c>
      <c r="AQ344">
        <v>17665</v>
      </c>
      <c r="AR344" s="350">
        <v>98.82</v>
      </c>
      <c r="AS344" s="350">
        <v>99.33</v>
      </c>
      <c r="AT344" s="350">
        <v>98.59</v>
      </c>
    </row>
    <row r="345" spans="38:46">
      <c r="AL345" s="345">
        <v>17</v>
      </c>
      <c r="AM345" s="341" t="s">
        <v>12</v>
      </c>
      <c r="AN345" s="345">
        <v>17777</v>
      </c>
      <c r="AO345" s="341" t="s">
        <v>602</v>
      </c>
      <c r="AP345" t="s">
        <v>1413</v>
      </c>
      <c r="AQ345">
        <v>17777</v>
      </c>
      <c r="AR345" s="350">
        <v>98.74</v>
      </c>
      <c r="AS345" s="350">
        <v>99.77</v>
      </c>
      <c r="AT345" s="350">
        <v>97.61</v>
      </c>
    </row>
    <row r="346" spans="38:46">
      <c r="AL346" s="346">
        <v>17</v>
      </c>
      <c r="AM346" s="342" t="s">
        <v>12</v>
      </c>
      <c r="AN346" s="346">
        <v>17867</v>
      </c>
      <c r="AO346" s="342" t="s">
        <v>620</v>
      </c>
      <c r="AP346" t="s">
        <v>1414</v>
      </c>
      <c r="AQ346">
        <v>17867</v>
      </c>
      <c r="AR346" s="350">
        <v>99.24</v>
      </c>
      <c r="AS346" s="350">
        <v>99.45</v>
      </c>
      <c r="AT346" s="350">
        <v>99.02</v>
      </c>
    </row>
    <row r="347" spans="38:46">
      <c r="AL347" s="345">
        <v>17</v>
      </c>
      <c r="AM347" s="341" t="s">
        <v>12</v>
      </c>
      <c r="AN347" s="345">
        <v>17873</v>
      </c>
      <c r="AO347" s="341" t="s">
        <v>637</v>
      </c>
      <c r="AP347" t="s">
        <v>1415</v>
      </c>
      <c r="AQ347">
        <v>17873</v>
      </c>
      <c r="AR347" s="350">
        <v>99.25</v>
      </c>
      <c r="AS347" s="350">
        <v>99.43</v>
      </c>
      <c r="AT347" s="350">
        <v>98.07</v>
      </c>
    </row>
    <row r="348" spans="38:46">
      <c r="AL348" s="346">
        <v>17</v>
      </c>
      <c r="AM348" s="342" t="s">
        <v>12</v>
      </c>
      <c r="AN348" s="346">
        <v>17877</v>
      </c>
      <c r="AO348" s="342" t="s">
        <v>653</v>
      </c>
      <c r="AP348" t="s">
        <v>1416</v>
      </c>
      <c r="AQ348">
        <v>17877</v>
      </c>
      <c r="AR348" s="350">
        <v>99.47</v>
      </c>
      <c r="AS348" s="350">
        <v>99.57</v>
      </c>
      <c r="AT348" s="350">
        <v>98.85</v>
      </c>
    </row>
    <row r="349" spans="38:46">
      <c r="AL349" s="345">
        <v>18</v>
      </c>
      <c r="AM349" s="341" t="s">
        <v>13</v>
      </c>
      <c r="AN349" s="345">
        <v>18001</v>
      </c>
      <c r="AO349" s="341" t="s">
        <v>230</v>
      </c>
      <c r="AP349" t="s">
        <v>1417</v>
      </c>
      <c r="AQ349">
        <v>18001</v>
      </c>
      <c r="AR349" s="350">
        <v>97.65</v>
      </c>
      <c r="AS349" s="350">
        <v>98.34</v>
      </c>
      <c r="AT349" s="350">
        <v>90.36</v>
      </c>
    </row>
    <row r="350" spans="38:46">
      <c r="AL350" s="346">
        <v>18</v>
      </c>
      <c r="AM350" s="342" t="s">
        <v>13</v>
      </c>
      <c r="AN350" s="346">
        <v>18029</v>
      </c>
      <c r="AO350" s="342" t="s">
        <v>52</v>
      </c>
      <c r="AP350" t="s">
        <v>1418</v>
      </c>
      <c r="AQ350">
        <v>18029</v>
      </c>
      <c r="AR350" s="350">
        <v>92.26</v>
      </c>
      <c r="AS350" s="350">
        <v>98.96</v>
      </c>
      <c r="AT350" s="350">
        <v>86.08</v>
      </c>
    </row>
    <row r="351" spans="38:46">
      <c r="AL351" s="345">
        <v>18</v>
      </c>
      <c r="AM351" s="341" t="s">
        <v>13</v>
      </c>
      <c r="AN351" s="345">
        <v>18094</v>
      </c>
      <c r="AO351" s="341" t="s">
        <v>85</v>
      </c>
      <c r="AP351" t="s">
        <v>1419</v>
      </c>
      <c r="AQ351">
        <v>18094</v>
      </c>
      <c r="AR351" s="350">
        <v>90.01</v>
      </c>
      <c r="AS351" s="350">
        <v>98.35</v>
      </c>
      <c r="AT351" s="350">
        <v>72.790000000000006</v>
      </c>
    </row>
    <row r="352" spans="38:46">
      <c r="AL352" s="346">
        <v>18</v>
      </c>
      <c r="AM352" s="342" t="s">
        <v>13</v>
      </c>
      <c r="AN352" s="346">
        <v>18150</v>
      </c>
      <c r="AO352" s="342" t="s">
        <v>113</v>
      </c>
      <c r="AP352" t="s">
        <v>1420</v>
      </c>
      <c r="AQ352">
        <v>18150</v>
      </c>
      <c r="AR352" s="350">
        <v>63.7</v>
      </c>
      <c r="AS352" s="350">
        <v>90.55</v>
      </c>
      <c r="AT352" s="350">
        <v>30.15</v>
      </c>
    </row>
    <row r="353" spans="38:46">
      <c r="AL353" s="345">
        <v>18</v>
      </c>
      <c r="AM353" s="341" t="s">
        <v>13</v>
      </c>
      <c r="AN353" s="345">
        <v>18205</v>
      </c>
      <c r="AO353" s="341" t="s">
        <v>144</v>
      </c>
      <c r="AP353" t="s">
        <v>1421</v>
      </c>
      <c r="AQ353">
        <v>18205</v>
      </c>
      <c r="AR353" s="350">
        <v>90.34</v>
      </c>
      <c r="AS353" s="350">
        <v>96.98</v>
      </c>
      <c r="AT353" s="350">
        <v>73.81</v>
      </c>
    </row>
    <row r="354" spans="38:46">
      <c r="AL354" s="346">
        <v>18</v>
      </c>
      <c r="AM354" s="342" t="s">
        <v>13</v>
      </c>
      <c r="AN354" s="346">
        <v>18247</v>
      </c>
      <c r="AO354" s="342" t="s">
        <v>174</v>
      </c>
      <c r="AP354" t="s">
        <v>1422</v>
      </c>
      <c r="AQ354">
        <v>18247</v>
      </c>
      <c r="AR354" s="350">
        <v>93.2</v>
      </c>
      <c r="AS354" s="350">
        <v>97.93</v>
      </c>
      <c r="AT354" s="350">
        <v>80.45</v>
      </c>
    </row>
    <row r="355" spans="38:46">
      <c r="AL355" s="345">
        <v>18</v>
      </c>
      <c r="AM355" s="341" t="s">
        <v>13</v>
      </c>
      <c r="AN355" s="345">
        <v>18256</v>
      </c>
      <c r="AO355" s="341" t="s">
        <v>202</v>
      </c>
      <c r="AP355" t="s">
        <v>1423</v>
      </c>
      <c r="AQ355">
        <v>18256</v>
      </c>
      <c r="AR355" s="350">
        <v>91.83</v>
      </c>
      <c r="AS355" s="350">
        <v>95.91</v>
      </c>
      <c r="AT355" s="350">
        <v>87.33</v>
      </c>
    </row>
    <row r="356" spans="38:46">
      <c r="AL356" s="346">
        <v>18</v>
      </c>
      <c r="AM356" s="342" t="s">
        <v>13</v>
      </c>
      <c r="AN356" s="346">
        <v>18410</v>
      </c>
      <c r="AO356" s="342" t="s">
        <v>257</v>
      </c>
      <c r="AP356" t="s">
        <v>1424</v>
      </c>
      <c r="AQ356">
        <v>18410</v>
      </c>
      <c r="AR356" s="350">
        <v>60.77</v>
      </c>
      <c r="AS356" s="350">
        <v>96.69</v>
      </c>
      <c r="AT356" s="350">
        <v>51.05</v>
      </c>
    </row>
    <row r="357" spans="38:46">
      <c r="AL357" s="345">
        <v>18</v>
      </c>
      <c r="AM357" s="341" t="s">
        <v>13</v>
      </c>
      <c r="AN357" s="345">
        <v>18460</v>
      </c>
      <c r="AO357" s="341" t="s">
        <v>284</v>
      </c>
      <c r="AP357" t="s">
        <v>1425</v>
      </c>
      <c r="AQ357">
        <v>18460</v>
      </c>
      <c r="AR357" s="350">
        <v>58.04</v>
      </c>
      <c r="AS357" s="350">
        <v>95.18</v>
      </c>
      <c r="AT357" s="350">
        <v>50.57</v>
      </c>
    </row>
    <row r="358" spans="38:46">
      <c r="AL358" s="346">
        <v>18</v>
      </c>
      <c r="AM358" s="342" t="s">
        <v>13</v>
      </c>
      <c r="AN358" s="346">
        <v>18479</v>
      </c>
      <c r="AO358" s="342" t="s">
        <v>309</v>
      </c>
      <c r="AP358" t="s">
        <v>1426</v>
      </c>
      <c r="AQ358">
        <v>18479</v>
      </c>
      <c r="AR358" s="350">
        <v>91.12</v>
      </c>
      <c r="AS358" s="350">
        <v>99.31</v>
      </c>
      <c r="AT358" s="350">
        <v>80.319999999999993</v>
      </c>
    </row>
    <row r="359" spans="38:46">
      <c r="AL359" s="345">
        <v>18</v>
      </c>
      <c r="AM359" s="341" t="s">
        <v>13</v>
      </c>
      <c r="AN359" s="345">
        <v>18592</v>
      </c>
      <c r="AO359" s="341" t="s">
        <v>334</v>
      </c>
      <c r="AP359" t="s">
        <v>1427</v>
      </c>
      <c r="AQ359">
        <v>18592</v>
      </c>
      <c r="AR359" s="350">
        <v>72.150000000000006</v>
      </c>
      <c r="AS359" s="350">
        <v>97.12</v>
      </c>
      <c r="AT359" s="350">
        <v>33.64</v>
      </c>
    </row>
    <row r="360" spans="38:46">
      <c r="AL360" s="346">
        <v>18</v>
      </c>
      <c r="AM360" s="342" t="s">
        <v>13</v>
      </c>
      <c r="AN360" s="346">
        <v>18610</v>
      </c>
      <c r="AO360" s="342" t="s">
        <v>358</v>
      </c>
      <c r="AP360" t="s">
        <v>1428</v>
      </c>
      <c r="AQ360">
        <v>18610</v>
      </c>
      <c r="AR360" s="350">
        <v>81.13</v>
      </c>
      <c r="AS360" s="350">
        <v>97.22</v>
      </c>
      <c r="AT360" s="350">
        <v>59.47</v>
      </c>
    </row>
    <row r="361" spans="38:46">
      <c r="AL361" s="345">
        <v>18</v>
      </c>
      <c r="AM361" s="341" t="s">
        <v>13</v>
      </c>
      <c r="AN361" s="345">
        <v>18753</v>
      </c>
      <c r="AO361" s="341" t="s">
        <v>381</v>
      </c>
      <c r="AP361" t="s">
        <v>1429</v>
      </c>
      <c r="AQ361">
        <v>18753</v>
      </c>
      <c r="AR361" s="350">
        <v>61.99</v>
      </c>
      <c r="AS361" s="350">
        <v>96.65</v>
      </c>
      <c r="AT361" s="350">
        <v>23.86</v>
      </c>
    </row>
    <row r="362" spans="38:46">
      <c r="AL362" s="346">
        <v>18</v>
      </c>
      <c r="AM362" s="342" t="s">
        <v>13</v>
      </c>
      <c r="AN362" s="346">
        <v>18756</v>
      </c>
      <c r="AO362" s="342" t="s">
        <v>404</v>
      </c>
      <c r="AP362" t="s">
        <v>1430</v>
      </c>
      <c r="AQ362">
        <v>18756</v>
      </c>
      <c r="AR362" s="350">
        <v>41.86</v>
      </c>
      <c r="AS362" s="350">
        <v>93.88</v>
      </c>
      <c r="AT362" s="350">
        <v>16.72</v>
      </c>
    </row>
    <row r="363" spans="38:46">
      <c r="AL363" s="345">
        <v>18</v>
      </c>
      <c r="AM363" s="341" t="s">
        <v>13</v>
      </c>
      <c r="AN363" s="345">
        <v>18785</v>
      </c>
      <c r="AO363" s="341" t="s">
        <v>427</v>
      </c>
      <c r="AP363" t="s">
        <v>1431</v>
      </c>
      <c r="AQ363">
        <v>18785</v>
      </c>
      <c r="AR363" s="350">
        <v>73.56</v>
      </c>
      <c r="AS363" s="350">
        <v>90.31</v>
      </c>
      <c r="AT363" s="350">
        <v>45.74</v>
      </c>
    </row>
    <row r="364" spans="38:46">
      <c r="AL364" s="346">
        <v>18</v>
      </c>
      <c r="AM364" s="342" t="s">
        <v>13</v>
      </c>
      <c r="AN364" s="346">
        <v>18860</v>
      </c>
      <c r="AO364" s="342" t="s">
        <v>450</v>
      </c>
      <c r="AP364" t="s">
        <v>1432</v>
      </c>
      <c r="AQ364">
        <v>18860</v>
      </c>
      <c r="AR364" s="350">
        <v>93.6</v>
      </c>
      <c r="AS364" s="350">
        <v>99.04</v>
      </c>
      <c r="AT364" s="350">
        <v>89.94</v>
      </c>
    </row>
    <row r="365" spans="38:46">
      <c r="AL365" s="345">
        <v>19</v>
      </c>
      <c r="AM365" s="341" t="s">
        <v>15</v>
      </c>
      <c r="AN365" s="345">
        <v>19001</v>
      </c>
      <c r="AO365" s="341" t="s">
        <v>654</v>
      </c>
      <c r="AP365" t="s">
        <v>1433</v>
      </c>
      <c r="AQ365">
        <v>19001</v>
      </c>
      <c r="AR365" s="350">
        <v>98.71</v>
      </c>
      <c r="AS365" s="350">
        <v>99.52</v>
      </c>
      <c r="AT365" s="350">
        <v>94.19</v>
      </c>
    </row>
    <row r="366" spans="38:46">
      <c r="AL366" s="346">
        <v>19</v>
      </c>
      <c r="AM366" s="342" t="s">
        <v>15</v>
      </c>
      <c r="AN366" s="346">
        <v>19022</v>
      </c>
      <c r="AO366" s="342" t="s">
        <v>54</v>
      </c>
      <c r="AP366" t="s">
        <v>1434</v>
      </c>
      <c r="AQ366">
        <v>19022</v>
      </c>
      <c r="AR366" s="350">
        <v>82.47</v>
      </c>
      <c r="AS366" s="350">
        <v>96.52</v>
      </c>
      <c r="AT366" s="350">
        <v>81.2</v>
      </c>
    </row>
    <row r="367" spans="38:46">
      <c r="AL367" s="345">
        <v>19</v>
      </c>
      <c r="AM367" s="341" t="s">
        <v>15</v>
      </c>
      <c r="AN367" s="345">
        <v>19050</v>
      </c>
      <c r="AO367" s="341" t="s">
        <v>87</v>
      </c>
      <c r="AP367" t="s">
        <v>1435</v>
      </c>
      <c r="AQ367">
        <v>19050</v>
      </c>
      <c r="AR367" s="350">
        <v>89.85</v>
      </c>
      <c r="AS367" s="350">
        <v>97.78</v>
      </c>
      <c r="AT367" s="350">
        <v>88.83</v>
      </c>
    </row>
    <row r="368" spans="38:46">
      <c r="AL368" s="346">
        <v>19</v>
      </c>
      <c r="AM368" s="342" t="s">
        <v>15</v>
      </c>
      <c r="AN368" s="346">
        <v>19075</v>
      </c>
      <c r="AO368" s="342" t="s">
        <v>99</v>
      </c>
      <c r="AP368" t="s">
        <v>1436</v>
      </c>
      <c r="AQ368">
        <v>19075</v>
      </c>
      <c r="AR368" s="350">
        <v>95.46</v>
      </c>
      <c r="AS368" s="350">
        <v>99.23</v>
      </c>
      <c r="AT368" s="350">
        <v>94.21</v>
      </c>
    </row>
    <row r="369" spans="38:46">
      <c r="AL369" s="345">
        <v>19</v>
      </c>
      <c r="AM369" s="341" t="s">
        <v>15</v>
      </c>
      <c r="AN369" s="345">
        <v>19100</v>
      </c>
      <c r="AO369" s="341" t="s">
        <v>10</v>
      </c>
      <c r="AP369" t="s">
        <v>1437</v>
      </c>
      <c r="AQ369">
        <v>19100</v>
      </c>
      <c r="AR369" s="350">
        <v>91.59</v>
      </c>
      <c r="AS369" s="350">
        <v>99.11</v>
      </c>
      <c r="AT369" s="350">
        <v>90.62</v>
      </c>
    </row>
    <row r="370" spans="38:46">
      <c r="AL370" s="346">
        <v>19</v>
      </c>
      <c r="AM370" s="342" t="s">
        <v>15</v>
      </c>
      <c r="AN370" s="346">
        <v>19110</v>
      </c>
      <c r="AO370" s="342" t="s">
        <v>176</v>
      </c>
      <c r="AP370" t="s">
        <v>1438</v>
      </c>
      <c r="AQ370">
        <v>19110</v>
      </c>
      <c r="AR370" s="350">
        <v>86.02</v>
      </c>
      <c r="AS370" s="350">
        <v>97.33</v>
      </c>
      <c r="AT370" s="350">
        <v>85.44</v>
      </c>
    </row>
    <row r="371" spans="38:46">
      <c r="AL371" s="345">
        <v>19</v>
      </c>
      <c r="AM371" s="341" t="s">
        <v>15</v>
      </c>
      <c r="AN371" s="345">
        <v>19130</v>
      </c>
      <c r="AO371" s="341" t="s">
        <v>204</v>
      </c>
      <c r="AP371" t="s">
        <v>1439</v>
      </c>
      <c r="AQ371">
        <v>19130</v>
      </c>
      <c r="AR371" s="350">
        <v>88.84</v>
      </c>
      <c r="AS371" s="350">
        <v>97.91</v>
      </c>
      <c r="AT371" s="350">
        <v>88.18</v>
      </c>
    </row>
    <row r="372" spans="38:46">
      <c r="AL372" s="346">
        <v>19</v>
      </c>
      <c r="AM372" s="342" t="s">
        <v>15</v>
      </c>
      <c r="AN372" s="346">
        <v>19137</v>
      </c>
      <c r="AO372" s="342" t="s">
        <v>232</v>
      </c>
      <c r="AP372" t="s">
        <v>1440</v>
      </c>
      <c r="AQ372">
        <v>19137</v>
      </c>
      <c r="AR372" s="350">
        <v>91.4</v>
      </c>
      <c r="AS372" s="350">
        <v>97.81</v>
      </c>
      <c r="AT372" s="350">
        <v>90.95</v>
      </c>
    </row>
    <row r="373" spans="38:46">
      <c r="AL373" s="345">
        <v>19</v>
      </c>
      <c r="AM373" s="341" t="s">
        <v>15</v>
      </c>
      <c r="AN373" s="345">
        <v>19142</v>
      </c>
      <c r="AO373" s="341" t="s">
        <v>259</v>
      </c>
      <c r="AP373" t="s">
        <v>1441</v>
      </c>
      <c r="AQ373">
        <v>19142</v>
      </c>
      <c r="AR373" s="350">
        <v>92.47</v>
      </c>
      <c r="AS373" s="350">
        <v>98.88</v>
      </c>
      <c r="AT373" s="350">
        <v>90.52</v>
      </c>
    </row>
    <row r="374" spans="38:46">
      <c r="AL374" s="346">
        <v>19</v>
      </c>
      <c r="AM374" s="342" t="s">
        <v>15</v>
      </c>
      <c r="AN374" s="346">
        <v>19212</v>
      </c>
      <c r="AO374" s="342" t="s">
        <v>286</v>
      </c>
      <c r="AP374" t="s">
        <v>1442</v>
      </c>
      <c r="AQ374">
        <v>19212</v>
      </c>
      <c r="AR374" s="350">
        <v>96.93</v>
      </c>
      <c r="AS374" s="350">
        <v>99.06</v>
      </c>
      <c r="AT374" s="350">
        <v>94.3</v>
      </c>
    </row>
    <row r="375" spans="38:46">
      <c r="AL375" s="345">
        <v>19</v>
      </c>
      <c r="AM375" s="341" t="s">
        <v>15</v>
      </c>
      <c r="AN375" s="345">
        <v>19256</v>
      </c>
      <c r="AO375" s="341" t="s">
        <v>311</v>
      </c>
      <c r="AP375" t="s">
        <v>1443</v>
      </c>
      <c r="AQ375">
        <v>19256</v>
      </c>
      <c r="AR375" s="350">
        <v>85.73</v>
      </c>
      <c r="AS375" s="350">
        <v>97.87</v>
      </c>
      <c r="AT375" s="350">
        <v>84.81</v>
      </c>
    </row>
    <row r="376" spans="38:46">
      <c r="AL376" s="346">
        <v>19</v>
      </c>
      <c r="AM376" s="342" t="s">
        <v>15</v>
      </c>
      <c r="AN376" s="346">
        <v>19290</v>
      </c>
      <c r="AO376" s="342" t="s">
        <v>230</v>
      </c>
      <c r="AP376" t="s">
        <v>1444</v>
      </c>
      <c r="AQ376">
        <v>19290</v>
      </c>
      <c r="AR376" s="350">
        <v>97.84</v>
      </c>
      <c r="AS376" s="350">
        <v>97.6</v>
      </c>
      <c r="AT376" s="350">
        <v>97.91</v>
      </c>
    </row>
    <row r="377" spans="38:46">
      <c r="AL377" s="345">
        <v>19</v>
      </c>
      <c r="AM377" s="341" t="s">
        <v>15</v>
      </c>
      <c r="AN377" s="345">
        <v>19300</v>
      </c>
      <c r="AO377" s="341" t="s">
        <v>360</v>
      </c>
      <c r="AP377" t="s">
        <v>1445</v>
      </c>
      <c r="AQ377">
        <v>19300</v>
      </c>
      <c r="AR377" s="350">
        <v>99.25</v>
      </c>
      <c r="AS377" s="350">
        <v>99.21</v>
      </c>
      <c r="AT377" s="350">
        <v>99.26</v>
      </c>
    </row>
    <row r="378" spans="38:46">
      <c r="AL378" s="346">
        <v>19</v>
      </c>
      <c r="AM378" s="342" t="s">
        <v>15</v>
      </c>
      <c r="AN378" s="346">
        <v>19318</v>
      </c>
      <c r="AO378" s="342" t="s">
        <v>383</v>
      </c>
      <c r="AP378" t="s">
        <v>1446</v>
      </c>
      <c r="AQ378">
        <v>19318</v>
      </c>
      <c r="AR378" s="350">
        <v>51.68</v>
      </c>
      <c r="AS378" s="350">
        <v>89.11</v>
      </c>
      <c r="AT378" s="350">
        <v>2.66</v>
      </c>
    </row>
    <row r="379" spans="38:46">
      <c r="AL379" s="345">
        <v>19</v>
      </c>
      <c r="AM379" s="341" t="s">
        <v>15</v>
      </c>
      <c r="AN379" s="345">
        <v>19355</v>
      </c>
      <c r="AO379" s="341" t="s">
        <v>406</v>
      </c>
      <c r="AP379" t="s">
        <v>1447</v>
      </c>
      <c r="AQ379">
        <v>19355</v>
      </c>
      <c r="AR379" s="350">
        <v>90.54</v>
      </c>
      <c r="AS379" s="350">
        <v>99.02</v>
      </c>
      <c r="AT379" s="350">
        <v>90</v>
      </c>
    </row>
    <row r="380" spans="38:46">
      <c r="AL380" s="346">
        <v>19</v>
      </c>
      <c r="AM380" s="342" t="s">
        <v>15</v>
      </c>
      <c r="AN380" s="346">
        <v>19364</v>
      </c>
      <c r="AO380" s="342" t="s">
        <v>429</v>
      </c>
      <c r="AP380" t="s">
        <v>1448</v>
      </c>
      <c r="AQ380">
        <v>19364</v>
      </c>
      <c r="AR380" s="350">
        <v>86.71</v>
      </c>
      <c r="AS380" s="350">
        <v>98.08</v>
      </c>
      <c r="AT380" s="350">
        <v>85.4</v>
      </c>
    </row>
    <row r="381" spans="38:46">
      <c r="AL381" s="345">
        <v>19</v>
      </c>
      <c r="AM381" s="341" t="s">
        <v>15</v>
      </c>
      <c r="AN381" s="345">
        <v>19392</v>
      </c>
      <c r="AO381" s="341" t="s">
        <v>452</v>
      </c>
      <c r="AP381" t="s">
        <v>1449</v>
      </c>
      <c r="AQ381">
        <v>19392</v>
      </c>
      <c r="AR381" s="350">
        <v>92.37</v>
      </c>
      <c r="AS381" s="350">
        <v>98.34</v>
      </c>
      <c r="AT381" s="350">
        <v>91.09</v>
      </c>
    </row>
    <row r="382" spans="38:46">
      <c r="AL382" s="346">
        <v>19</v>
      </c>
      <c r="AM382" s="342" t="s">
        <v>15</v>
      </c>
      <c r="AN382" s="346">
        <v>19397</v>
      </c>
      <c r="AO382" s="342" t="s">
        <v>472</v>
      </c>
      <c r="AP382" t="s">
        <v>1450</v>
      </c>
      <c r="AQ382">
        <v>19397</v>
      </c>
      <c r="AR382" s="350">
        <v>95.48</v>
      </c>
      <c r="AS382" s="350">
        <v>98.85</v>
      </c>
      <c r="AT382" s="350">
        <v>95.24</v>
      </c>
    </row>
    <row r="383" spans="38:46">
      <c r="AL383" s="345">
        <v>19</v>
      </c>
      <c r="AM383" s="341" t="s">
        <v>15</v>
      </c>
      <c r="AN383" s="345">
        <v>19418</v>
      </c>
      <c r="AO383" s="341" t="s">
        <v>492</v>
      </c>
      <c r="AP383" t="s">
        <v>1451</v>
      </c>
      <c r="AQ383">
        <v>19418</v>
      </c>
      <c r="AR383" s="350">
        <v>36.15</v>
      </c>
      <c r="AS383" s="350">
        <v>96.47</v>
      </c>
      <c r="AT383" s="350">
        <v>27.88</v>
      </c>
    </row>
    <row r="384" spans="38:46">
      <c r="AL384" s="346">
        <v>19</v>
      </c>
      <c r="AM384" s="342" t="s">
        <v>15</v>
      </c>
      <c r="AN384" s="346">
        <v>19450</v>
      </c>
      <c r="AO384" s="342" t="s">
        <v>512</v>
      </c>
      <c r="AP384" t="s">
        <v>1452</v>
      </c>
      <c r="AQ384">
        <v>19450</v>
      </c>
      <c r="AR384" s="350">
        <v>94.9</v>
      </c>
      <c r="AS384" s="350">
        <v>98.6</v>
      </c>
      <c r="AT384" s="350">
        <v>92.8</v>
      </c>
    </row>
    <row r="385" spans="38:46">
      <c r="AL385" s="345">
        <v>19</v>
      </c>
      <c r="AM385" s="341" t="s">
        <v>15</v>
      </c>
      <c r="AN385" s="345">
        <v>19455</v>
      </c>
      <c r="AO385" s="341" t="s">
        <v>530</v>
      </c>
      <c r="AP385" t="s">
        <v>1453</v>
      </c>
      <c r="AQ385">
        <v>19455</v>
      </c>
      <c r="AR385" s="350">
        <v>97.85</v>
      </c>
      <c r="AS385" s="350">
        <v>99.59</v>
      </c>
      <c r="AT385" s="350">
        <v>95.14</v>
      </c>
    </row>
    <row r="386" spans="38:46">
      <c r="AL386" s="346">
        <v>19</v>
      </c>
      <c r="AM386" s="342" t="s">
        <v>15</v>
      </c>
      <c r="AN386" s="346">
        <v>19473</v>
      </c>
      <c r="AO386" s="342" t="s">
        <v>549</v>
      </c>
      <c r="AP386" t="s">
        <v>1454</v>
      </c>
      <c r="AQ386">
        <v>19473</v>
      </c>
      <c r="AR386" s="350">
        <v>78.59</v>
      </c>
      <c r="AS386" s="350">
        <v>94.79</v>
      </c>
      <c r="AT386" s="350">
        <v>77.150000000000006</v>
      </c>
    </row>
    <row r="387" spans="38:46">
      <c r="AL387" s="345">
        <v>19</v>
      </c>
      <c r="AM387" s="341" t="s">
        <v>15</v>
      </c>
      <c r="AN387" s="345">
        <v>19513</v>
      </c>
      <c r="AO387" s="341" t="s">
        <v>566</v>
      </c>
      <c r="AP387" t="s">
        <v>1455</v>
      </c>
      <c r="AQ387">
        <v>19513</v>
      </c>
      <c r="AR387" s="350">
        <v>98.71</v>
      </c>
      <c r="AS387" s="350">
        <v>99.43</v>
      </c>
      <c r="AT387" s="350">
        <v>98.03</v>
      </c>
    </row>
    <row r="388" spans="38:46">
      <c r="AL388" s="346">
        <v>19</v>
      </c>
      <c r="AM388" s="342" t="s">
        <v>15</v>
      </c>
      <c r="AN388" s="346">
        <v>19517</v>
      </c>
      <c r="AO388" s="342" t="s">
        <v>587</v>
      </c>
      <c r="AP388" t="s">
        <v>1456</v>
      </c>
      <c r="AQ388">
        <v>19517</v>
      </c>
      <c r="AR388" s="350">
        <v>79.599999999999994</v>
      </c>
      <c r="AS388" s="350">
        <v>97.11</v>
      </c>
      <c r="AT388" s="350">
        <v>77.569999999999993</v>
      </c>
    </row>
    <row r="389" spans="38:46">
      <c r="AL389" s="345">
        <v>19</v>
      </c>
      <c r="AM389" s="341" t="s">
        <v>15</v>
      </c>
      <c r="AN389" s="345">
        <v>19532</v>
      </c>
      <c r="AO389" s="341" t="s">
        <v>603</v>
      </c>
      <c r="AP389" t="s">
        <v>1457</v>
      </c>
      <c r="AQ389">
        <v>19532</v>
      </c>
      <c r="AR389" s="350">
        <v>90.97</v>
      </c>
      <c r="AS389" s="350">
        <v>98.96</v>
      </c>
      <c r="AT389" s="350">
        <v>85.48</v>
      </c>
    </row>
    <row r="390" spans="38:46">
      <c r="AL390" s="346">
        <v>19</v>
      </c>
      <c r="AM390" s="342" t="s">
        <v>15</v>
      </c>
      <c r="AN390" s="346">
        <v>19533</v>
      </c>
      <c r="AO390" s="342" t="s">
        <v>621</v>
      </c>
      <c r="AP390" t="s">
        <v>1458</v>
      </c>
      <c r="AQ390">
        <v>19533</v>
      </c>
      <c r="AR390" s="350">
        <v>55.06</v>
      </c>
      <c r="AS390" s="350">
        <v>90.13</v>
      </c>
      <c r="AT390" s="350">
        <v>42.97</v>
      </c>
    </row>
    <row r="391" spans="38:46">
      <c r="AL391" s="345">
        <v>19</v>
      </c>
      <c r="AM391" s="341" t="s">
        <v>15</v>
      </c>
      <c r="AN391" s="345">
        <v>19548</v>
      </c>
      <c r="AO391" s="341" t="s">
        <v>638</v>
      </c>
      <c r="AP391" t="s">
        <v>1459</v>
      </c>
      <c r="AQ391">
        <v>19548</v>
      </c>
      <c r="AR391" s="350">
        <v>95.04</v>
      </c>
      <c r="AS391" s="350">
        <v>98.35</v>
      </c>
      <c r="AT391" s="350">
        <v>93.07</v>
      </c>
    </row>
    <row r="392" spans="38:46">
      <c r="AL392" s="346">
        <v>19</v>
      </c>
      <c r="AM392" s="342" t="s">
        <v>15</v>
      </c>
      <c r="AN392" s="346">
        <v>19573</v>
      </c>
      <c r="AO392" s="342" t="s">
        <v>669</v>
      </c>
      <c r="AP392" t="s">
        <v>1460</v>
      </c>
      <c r="AQ392">
        <v>19573</v>
      </c>
      <c r="AR392" s="350">
        <v>99.77</v>
      </c>
      <c r="AS392" s="350">
        <v>99.82</v>
      </c>
      <c r="AT392" s="350">
        <v>99.41</v>
      </c>
    </row>
    <row r="393" spans="38:46">
      <c r="AL393" s="345">
        <v>19</v>
      </c>
      <c r="AM393" s="341" t="s">
        <v>15</v>
      </c>
      <c r="AN393" s="345">
        <v>19585</v>
      </c>
      <c r="AO393" s="341" t="s">
        <v>683</v>
      </c>
      <c r="AP393" t="s">
        <v>1461</v>
      </c>
      <c r="AQ393">
        <v>19585</v>
      </c>
      <c r="AR393" s="350">
        <v>93.27</v>
      </c>
      <c r="AS393" s="350">
        <v>97.57</v>
      </c>
      <c r="AT393" s="350">
        <v>92.6</v>
      </c>
    </row>
    <row r="394" spans="38:46">
      <c r="AL394" s="346">
        <v>19</v>
      </c>
      <c r="AM394" s="342" t="s">
        <v>15</v>
      </c>
      <c r="AN394" s="346">
        <v>19622</v>
      </c>
      <c r="AO394" s="342" t="s">
        <v>699</v>
      </c>
      <c r="AP394" t="s">
        <v>1462</v>
      </c>
      <c r="AQ394">
        <v>19622</v>
      </c>
      <c r="AR394" s="350">
        <v>96.42</v>
      </c>
      <c r="AS394" s="350">
        <v>97.89</v>
      </c>
      <c r="AT394" s="350">
        <v>96.25</v>
      </c>
    </row>
    <row r="395" spans="38:46">
      <c r="AL395" s="345">
        <v>19</v>
      </c>
      <c r="AM395" s="341" t="s">
        <v>15</v>
      </c>
      <c r="AN395" s="345">
        <v>19693</v>
      </c>
      <c r="AO395" s="341" t="s">
        <v>714</v>
      </c>
      <c r="AP395" t="s">
        <v>1463</v>
      </c>
      <c r="AQ395">
        <v>19693</v>
      </c>
      <c r="AR395" s="350">
        <v>92.43</v>
      </c>
      <c r="AS395" s="350">
        <v>94.5</v>
      </c>
      <c r="AT395" s="350">
        <v>92.28</v>
      </c>
    </row>
    <row r="396" spans="38:46">
      <c r="AL396" s="346">
        <v>19</v>
      </c>
      <c r="AM396" s="342" t="s">
        <v>15</v>
      </c>
      <c r="AN396" s="346">
        <v>19698</v>
      </c>
      <c r="AO396" s="342" t="s">
        <v>737</v>
      </c>
      <c r="AP396" t="s">
        <v>1464</v>
      </c>
      <c r="AQ396">
        <v>19698</v>
      </c>
      <c r="AR396" s="350">
        <v>97.24</v>
      </c>
      <c r="AS396" s="350">
        <v>99.49</v>
      </c>
      <c r="AT396" s="350">
        <v>94.73</v>
      </c>
    </row>
    <row r="397" spans="38:46">
      <c r="AL397" s="345">
        <v>19</v>
      </c>
      <c r="AM397" s="341" t="s">
        <v>15</v>
      </c>
      <c r="AN397" s="345">
        <v>19701</v>
      </c>
      <c r="AO397" s="341" t="s">
        <v>725</v>
      </c>
      <c r="AP397" t="s">
        <v>1465</v>
      </c>
      <c r="AQ397">
        <v>19701</v>
      </c>
      <c r="AR397" s="350">
        <v>82.32</v>
      </c>
      <c r="AS397" s="350">
        <v>99.14</v>
      </c>
      <c r="AT397" s="350">
        <v>79.31</v>
      </c>
    </row>
    <row r="398" spans="38:46">
      <c r="AL398" s="346">
        <v>19</v>
      </c>
      <c r="AM398" s="342" t="s">
        <v>15</v>
      </c>
      <c r="AN398" s="346">
        <v>19743</v>
      </c>
      <c r="AO398" s="342" t="s">
        <v>747</v>
      </c>
      <c r="AP398" t="s">
        <v>1466</v>
      </c>
      <c r="AQ398">
        <v>19743</v>
      </c>
      <c r="AR398" s="350">
        <v>90.27</v>
      </c>
      <c r="AS398" s="350">
        <v>98.61</v>
      </c>
      <c r="AT398" s="350">
        <v>88.64</v>
      </c>
    </row>
    <row r="399" spans="38:46">
      <c r="AL399" s="345">
        <v>19</v>
      </c>
      <c r="AM399" s="341" t="s">
        <v>15</v>
      </c>
      <c r="AN399" s="345">
        <v>19760</v>
      </c>
      <c r="AO399" s="341" t="s">
        <v>759</v>
      </c>
      <c r="AP399" t="s">
        <v>1467</v>
      </c>
      <c r="AQ399">
        <v>19760</v>
      </c>
      <c r="AR399" s="350">
        <v>91.18</v>
      </c>
      <c r="AS399" s="350">
        <v>100</v>
      </c>
      <c r="AT399" s="350">
        <v>90.75</v>
      </c>
    </row>
    <row r="400" spans="38:46">
      <c r="AL400" s="346">
        <v>19</v>
      </c>
      <c r="AM400" s="342" t="s">
        <v>15</v>
      </c>
      <c r="AN400" s="346">
        <v>19780</v>
      </c>
      <c r="AO400" s="342" t="s">
        <v>770</v>
      </c>
      <c r="AP400" t="s">
        <v>1468</v>
      </c>
      <c r="AQ400">
        <v>19780</v>
      </c>
      <c r="AR400" s="350">
        <v>92.68</v>
      </c>
      <c r="AS400" s="350">
        <v>99.11</v>
      </c>
      <c r="AT400" s="350">
        <v>90.11</v>
      </c>
    </row>
    <row r="401" spans="38:46">
      <c r="AL401" s="345">
        <v>19</v>
      </c>
      <c r="AM401" s="341" t="s">
        <v>15</v>
      </c>
      <c r="AN401" s="345">
        <v>19785</v>
      </c>
      <c r="AO401" s="341" t="s">
        <v>32</v>
      </c>
      <c r="AP401" t="s">
        <v>1469</v>
      </c>
      <c r="AQ401">
        <v>19785</v>
      </c>
      <c r="AR401" s="350">
        <v>89.58</v>
      </c>
      <c r="AS401" s="350">
        <v>95.15</v>
      </c>
      <c r="AT401" s="350">
        <v>88.15</v>
      </c>
    </row>
    <row r="402" spans="38:46">
      <c r="AL402" s="346">
        <v>19</v>
      </c>
      <c r="AM402" s="342" t="s">
        <v>15</v>
      </c>
      <c r="AN402" s="346">
        <v>19807</v>
      </c>
      <c r="AO402" s="342" t="s">
        <v>791</v>
      </c>
      <c r="AP402" t="s">
        <v>1470</v>
      </c>
      <c r="AQ402">
        <v>19807</v>
      </c>
      <c r="AR402" s="350">
        <v>96.59</v>
      </c>
      <c r="AS402" s="350">
        <v>99.24</v>
      </c>
      <c r="AT402" s="350">
        <v>94.73</v>
      </c>
    </row>
    <row r="403" spans="38:46">
      <c r="AL403" s="345">
        <v>19</v>
      </c>
      <c r="AM403" s="341" t="s">
        <v>15</v>
      </c>
      <c r="AN403" s="345">
        <v>19809</v>
      </c>
      <c r="AO403" s="341" t="s">
        <v>800</v>
      </c>
      <c r="AP403" t="s">
        <v>1471</v>
      </c>
      <c r="AQ403">
        <v>19809</v>
      </c>
      <c r="AR403" s="350">
        <v>46.09</v>
      </c>
      <c r="AS403" s="350">
        <v>94.05</v>
      </c>
      <c r="AT403" s="350">
        <v>28.31</v>
      </c>
    </row>
    <row r="404" spans="38:46">
      <c r="AL404" s="346">
        <v>19</v>
      </c>
      <c r="AM404" s="342" t="s">
        <v>15</v>
      </c>
      <c r="AN404" s="346">
        <v>19821</v>
      </c>
      <c r="AO404" s="342" t="s">
        <v>811</v>
      </c>
      <c r="AP404" t="s">
        <v>1472</v>
      </c>
      <c r="AQ404">
        <v>19821</v>
      </c>
      <c r="AR404" s="350">
        <v>95.85</v>
      </c>
      <c r="AS404" s="350">
        <v>99.7</v>
      </c>
      <c r="AT404" s="350">
        <v>95.48</v>
      </c>
    </row>
    <row r="405" spans="38:46">
      <c r="AL405" s="345">
        <v>19</v>
      </c>
      <c r="AM405" s="341" t="s">
        <v>15</v>
      </c>
      <c r="AN405" s="345">
        <v>19824</v>
      </c>
      <c r="AO405" s="341" t="s">
        <v>821</v>
      </c>
      <c r="AP405" t="s">
        <v>1473</v>
      </c>
      <c r="AQ405">
        <v>19824</v>
      </c>
      <c r="AR405" s="350">
        <v>89.28</v>
      </c>
      <c r="AS405" s="350">
        <v>97.13</v>
      </c>
      <c r="AT405" s="350">
        <v>88.64</v>
      </c>
    </row>
    <row r="406" spans="38:46">
      <c r="AL406" s="346">
        <v>19</v>
      </c>
      <c r="AM406" s="342" t="s">
        <v>15</v>
      </c>
      <c r="AN406" s="346">
        <v>19845</v>
      </c>
      <c r="AO406" s="342" t="s">
        <v>831</v>
      </c>
      <c r="AP406" t="s">
        <v>1474</v>
      </c>
      <c r="AQ406">
        <v>19845</v>
      </c>
      <c r="AR406" s="350">
        <v>98.81</v>
      </c>
      <c r="AS406" s="350">
        <v>99.36</v>
      </c>
      <c r="AT406" s="350">
        <v>97.3</v>
      </c>
    </row>
    <row r="407" spans="38:46">
      <c r="AL407" s="345">
        <v>20</v>
      </c>
      <c r="AM407" s="341" t="s">
        <v>16</v>
      </c>
      <c r="AN407" s="345">
        <v>20001</v>
      </c>
      <c r="AO407" s="341" t="s">
        <v>622</v>
      </c>
      <c r="AP407" t="s">
        <v>1475</v>
      </c>
      <c r="AQ407">
        <v>20001</v>
      </c>
      <c r="AR407" s="350">
        <v>95.97</v>
      </c>
      <c r="AS407" s="350">
        <v>99.47</v>
      </c>
      <c r="AT407" s="350">
        <v>70.63</v>
      </c>
    </row>
    <row r="408" spans="38:46">
      <c r="AL408" s="346">
        <v>20</v>
      </c>
      <c r="AM408" s="342" t="s">
        <v>16</v>
      </c>
      <c r="AN408" s="346">
        <v>20011</v>
      </c>
      <c r="AO408" s="342" t="s">
        <v>55</v>
      </c>
      <c r="AP408" t="s">
        <v>1476</v>
      </c>
      <c r="AQ408">
        <v>20011</v>
      </c>
      <c r="AR408" s="350">
        <v>95.89</v>
      </c>
      <c r="AS408" s="350">
        <v>98.74</v>
      </c>
      <c r="AT408" s="350">
        <v>74.2</v>
      </c>
    </row>
    <row r="409" spans="38:46">
      <c r="AL409" s="345">
        <v>20</v>
      </c>
      <c r="AM409" s="341" t="s">
        <v>16</v>
      </c>
      <c r="AN409" s="345">
        <v>20013</v>
      </c>
      <c r="AO409" s="341" t="s">
        <v>88</v>
      </c>
      <c r="AP409" t="s">
        <v>1477</v>
      </c>
      <c r="AQ409">
        <v>20013</v>
      </c>
      <c r="AR409" s="350">
        <v>91.77</v>
      </c>
      <c r="AS409" s="350">
        <v>97.97</v>
      </c>
      <c r="AT409" s="350">
        <v>66.09</v>
      </c>
    </row>
    <row r="410" spans="38:46">
      <c r="AL410" s="346">
        <v>20</v>
      </c>
      <c r="AM410" s="342" t="s">
        <v>16</v>
      </c>
      <c r="AN410" s="346">
        <v>20032</v>
      </c>
      <c r="AO410" s="342" t="s">
        <v>115</v>
      </c>
      <c r="AP410" t="s">
        <v>1478</v>
      </c>
      <c r="AQ410">
        <v>20032</v>
      </c>
      <c r="AR410" s="350">
        <v>93.93</v>
      </c>
      <c r="AS410" s="350">
        <v>99.69</v>
      </c>
      <c r="AT410" s="350">
        <v>87.96</v>
      </c>
    </row>
    <row r="411" spans="38:46">
      <c r="AL411" s="345">
        <v>20</v>
      </c>
      <c r="AM411" s="341" t="s">
        <v>16</v>
      </c>
      <c r="AN411" s="345">
        <v>20045</v>
      </c>
      <c r="AO411" s="341" t="s">
        <v>146</v>
      </c>
      <c r="AP411" t="s">
        <v>1479</v>
      </c>
      <c r="AQ411">
        <v>20045</v>
      </c>
      <c r="AR411" s="350">
        <v>85.52</v>
      </c>
      <c r="AS411" s="350">
        <v>99.42</v>
      </c>
      <c r="AT411" s="350">
        <v>37.65</v>
      </c>
    </row>
    <row r="412" spans="38:46">
      <c r="AL412" s="346">
        <v>20</v>
      </c>
      <c r="AM412" s="342" t="s">
        <v>16</v>
      </c>
      <c r="AN412" s="346">
        <v>20060</v>
      </c>
      <c r="AO412" s="342" t="s">
        <v>177</v>
      </c>
      <c r="AP412" t="s">
        <v>1480</v>
      </c>
      <c r="AQ412">
        <v>20060</v>
      </c>
      <c r="AR412" s="350">
        <v>97</v>
      </c>
      <c r="AS412" s="350">
        <v>98.58</v>
      </c>
      <c r="AT412" s="350">
        <v>72.22</v>
      </c>
    </row>
    <row r="413" spans="38:46">
      <c r="AL413" s="345">
        <v>20</v>
      </c>
      <c r="AM413" s="341" t="s">
        <v>16</v>
      </c>
      <c r="AN413" s="345">
        <v>20175</v>
      </c>
      <c r="AO413" s="341" t="s">
        <v>205</v>
      </c>
      <c r="AP413" t="s">
        <v>1481</v>
      </c>
      <c r="AQ413">
        <v>20175</v>
      </c>
      <c r="AR413" s="350">
        <v>92.56</v>
      </c>
      <c r="AS413" s="350">
        <v>96.87</v>
      </c>
      <c r="AT413" s="350">
        <v>89.3</v>
      </c>
    </row>
    <row r="414" spans="38:46">
      <c r="AL414" s="346">
        <v>20</v>
      </c>
      <c r="AM414" s="342" t="s">
        <v>16</v>
      </c>
      <c r="AN414" s="346">
        <v>20178</v>
      </c>
      <c r="AO414" s="342" t="s">
        <v>233</v>
      </c>
      <c r="AP414" t="s">
        <v>1482</v>
      </c>
      <c r="AQ414">
        <v>20178</v>
      </c>
      <c r="AR414" s="350">
        <v>92.56</v>
      </c>
      <c r="AS414" s="350">
        <v>96.87</v>
      </c>
      <c r="AT414" s="350">
        <v>89.3</v>
      </c>
    </row>
    <row r="415" spans="38:46">
      <c r="AL415" s="345">
        <v>20</v>
      </c>
      <c r="AM415" s="341" t="s">
        <v>16</v>
      </c>
      <c r="AN415" s="345">
        <v>20228</v>
      </c>
      <c r="AO415" s="341" t="s">
        <v>260</v>
      </c>
      <c r="AP415" t="s">
        <v>1483</v>
      </c>
      <c r="AQ415">
        <v>20228</v>
      </c>
      <c r="AR415" s="350">
        <v>94.6</v>
      </c>
      <c r="AS415" s="350">
        <v>98.8</v>
      </c>
      <c r="AT415" s="350">
        <v>83.85</v>
      </c>
    </row>
    <row r="416" spans="38:46">
      <c r="AL416" s="346">
        <v>20</v>
      </c>
      <c r="AM416" s="342" t="s">
        <v>16</v>
      </c>
      <c r="AN416" s="346">
        <v>20238</v>
      </c>
      <c r="AO416" s="342" t="s">
        <v>287</v>
      </c>
      <c r="AP416" t="s">
        <v>1484</v>
      </c>
      <c r="AQ416">
        <v>20238</v>
      </c>
      <c r="AR416" s="350">
        <v>95.47</v>
      </c>
      <c r="AS416" s="350">
        <v>99.79</v>
      </c>
      <c r="AT416" s="350">
        <v>80.25</v>
      </c>
    </row>
    <row r="417" spans="38:46">
      <c r="AL417" s="345">
        <v>20</v>
      </c>
      <c r="AM417" s="341" t="s">
        <v>16</v>
      </c>
      <c r="AN417" s="345">
        <v>20250</v>
      </c>
      <c r="AO417" s="341" t="s">
        <v>312</v>
      </c>
      <c r="AP417" t="s">
        <v>1485</v>
      </c>
      <c r="AQ417">
        <v>20250</v>
      </c>
      <c r="AR417" s="350">
        <v>98.71</v>
      </c>
      <c r="AS417" s="350">
        <v>99.2</v>
      </c>
      <c r="AT417" s="350">
        <v>98.59</v>
      </c>
    </row>
    <row r="418" spans="38:46">
      <c r="AL418" s="346">
        <v>20</v>
      </c>
      <c r="AM418" s="342" t="s">
        <v>16</v>
      </c>
      <c r="AN418" s="346">
        <v>20295</v>
      </c>
      <c r="AO418" s="342" t="s">
        <v>336</v>
      </c>
      <c r="AP418" t="s">
        <v>1486</v>
      </c>
      <c r="AQ418">
        <v>20295</v>
      </c>
      <c r="AR418" s="350">
        <v>93</v>
      </c>
      <c r="AS418" s="350">
        <v>94.71</v>
      </c>
      <c r="AT418" s="350">
        <v>89.85</v>
      </c>
    </row>
    <row r="419" spans="38:46">
      <c r="AL419" s="345">
        <v>20</v>
      </c>
      <c r="AM419" s="341" t="s">
        <v>16</v>
      </c>
      <c r="AN419" s="345">
        <v>20310</v>
      </c>
      <c r="AO419" s="341" t="s">
        <v>361</v>
      </c>
      <c r="AP419" t="s">
        <v>1487</v>
      </c>
      <c r="AQ419">
        <v>20310</v>
      </c>
      <c r="AR419" s="350">
        <v>99.3</v>
      </c>
      <c r="AS419" s="350">
        <v>99.75</v>
      </c>
      <c r="AT419" s="350">
        <v>99.07</v>
      </c>
    </row>
    <row r="420" spans="38:46">
      <c r="AL420" s="346">
        <v>20</v>
      </c>
      <c r="AM420" s="342" t="s">
        <v>16</v>
      </c>
      <c r="AN420" s="346">
        <v>20383</v>
      </c>
      <c r="AO420" s="342" t="s">
        <v>384</v>
      </c>
      <c r="AP420" t="s">
        <v>1488</v>
      </c>
      <c r="AQ420">
        <v>20383</v>
      </c>
      <c r="AR420" s="350">
        <v>96.09</v>
      </c>
      <c r="AS420" s="350">
        <v>98.99</v>
      </c>
      <c r="AT420" s="350">
        <v>94.61</v>
      </c>
    </row>
    <row r="421" spans="38:46">
      <c r="AL421" s="345">
        <v>20</v>
      </c>
      <c r="AM421" s="341" t="s">
        <v>16</v>
      </c>
      <c r="AN421" s="345">
        <v>20400</v>
      </c>
      <c r="AO421" s="341" t="s">
        <v>407</v>
      </c>
      <c r="AP421" t="s">
        <v>1489</v>
      </c>
      <c r="AQ421">
        <v>20400</v>
      </c>
      <c r="AR421" s="350">
        <v>98.29</v>
      </c>
      <c r="AS421" s="350">
        <v>99.28</v>
      </c>
      <c r="AT421" s="350">
        <v>95.19</v>
      </c>
    </row>
    <row r="422" spans="38:46">
      <c r="AL422" s="346">
        <v>20</v>
      </c>
      <c r="AM422" s="342" t="s">
        <v>16</v>
      </c>
      <c r="AN422" s="346">
        <v>20443</v>
      </c>
      <c r="AO422" s="342" t="s">
        <v>453</v>
      </c>
      <c r="AP422" t="s">
        <v>1490</v>
      </c>
      <c r="AQ422">
        <v>20443</v>
      </c>
      <c r="AR422" s="350">
        <v>86.86</v>
      </c>
      <c r="AS422" s="350">
        <v>96.29</v>
      </c>
      <c r="AT422" s="350">
        <v>44.29</v>
      </c>
    </row>
    <row r="423" spans="38:46">
      <c r="AL423" s="345">
        <v>20</v>
      </c>
      <c r="AM423" s="341" t="s">
        <v>16</v>
      </c>
      <c r="AN423" s="345">
        <v>20517</v>
      </c>
      <c r="AO423" s="341" t="s">
        <v>473</v>
      </c>
      <c r="AP423" t="s">
        <v>1491</v>
      </c>
      <c r="AQ423">
        <v>20517</v>
      </c>
      <c r="AR423" s="350">
        <v>87.15</v>
      </c>
      <c r="AS423" s="350">
        <v>91.01</v>
      </c>
      <c r="AT423" s="350">
        <v>73.48</v>
      </c>
    </row>
    <row r="424" spans="38:46">
      <c r="AL424" s="346">
        <v>20</v>
      </c>
      <c r="AM424" s="342" t="s">
        <v>16</v>
      </c>
      <c r="AN424" s="346">
        <v>20550</v>
      </c>
      <c r="AO424" s="342" t="s">
        <v>493</v>
      </c>
      <c r="AP424" t="s">
        <v>1492</v>
      </c>
      <c r="AQ424">
        <v>20550</v>
      </c>
      <c r="AR424" s="350">
        <v>96.05</v>
      </c>
      <c r="AS424" s="350">
        <v>98.89</v>
      </c>
      <c r="AT424" s="350">
        <v>89.45</v>
      </c>
    </row>
    <row r="425" spans="38:46">
      <c r="AL425" s="345">
        <v>20</v>
      </c>
      <c r="AM425" s="341" t="s">
        <v>16</v>
      </c>
      <c r="AN425" s="345">
        <v>20570</v>
      </c>
      <c r="AO425" s="341" t="s">
        <v>513</v>
      </c>
      <c r="AP425" t="s">
        <v>1493</v>
      </c>
      <c r="AQ425">
        <v>20570</v>
      </c>
      <c r="AR425" s="350">
        <v>52.56</v>
      </c>
      <c r="AS425" s="350">
        <v>98.63</v>
      </c>
      <c r="AT425" s="350">
        <v>18.72</v>
      </c>
    </row>
    <row r="426" spans="38:46">
      <c r="AL426" s="346">
        <v>20</v>
      </c>
      <c r="AM426" s="342" t="s">
        <v>16</v>
      </c>
      <c r="AN426" s="346">
        <v>20614</v>
      </c>
      <c r="AO426" s="342" t="s">
        <v>531</v>
      </c>
      <c r="AP426" t="s">
        <v>1494</v>
      </c>
      <c r="AQ426">
        <v>20614</v>
      </c>
      <c r="AR426" s="350">
        <v>98.75</v>
      </c>
      <c r="AS426" s="350">
        <v>99.16</v>
      </c>
      <c r="AT426" s="350">
        <v>98.4</v>
      </c>
    </row>
    <row r="427" spans="38:46">
      <c r="AL427" s="345">
        <v>20</v>
      </c>
      <c r="AM427" s="341" t="s">
        <v>16</v>
      </c>
      <c r="AN427" s="345">
        <v>20621</v>
      </c>
      <c r="AO427" s="341" t="s">
        <v>430</v>
      </c>
      <c r="AP427" t="s">
        <v>1495</v>
      </c>
      <c r="AQ427">
        <v>20621</v>
      </c>
      <c r="AR427" s="350">
        <v>86.78</v>
      </c>
      <c r="AS427" s="350">
        <v>92.23</v>
      </c>
      <c r="AT427" s="350">
        <v>74.36</v>
      </c>
    </row>
    <row r="428" spans="38:46">
      <c r="AL428" s="346">
        <v>20</v>
      </c>
      <c r="AM428" s="342" t="s">
        <v>16</v>
      </c>
      <c r="AN428" s="346">
        <v>20710</v>
      </c>
      <c r="AO428" s="342" t="s">
        <v>550</v>
      </c>
      <c r="AP428" t="s">
        <v>1496</v>
      </c>
      <c r="AQ428">
        <v>20710</v>
      </c>
      <c r="AR428" s="350">
        <v>98.81</v>
      </c>
      <c r="AS428" s="350">
        <v>99.8</v>
      </c>
      <c r="AT428" s="350">
        <v>94.6</v>
      </c>
    </row>
    <row r="429" spans="38:46">
      <c r="AL429" s="345">
        <v>20</v>
      </c>
      <c r="AM429" s="341" t="s">
        <v>16</v>
      </c>
      <c r="AN429" s="345">
        <v>20750</v>
      </c>
      <c r="AO429" s="341" t="s">
        <v>567</v>
      </c>
      <c r="AP429" t="s">
        <v>1497</v>
      </c>
      <c r="AQ429">
        <v>20750</v>
      </c>
      <c r="AR429" s="350">
        <v>90.35</v>
      </c>
      <c r="AS429" s="350">
        <v>97.77</v>
      </c>
      <c r="AT429" s="350">
        <v>82.03</v>
      </c>
    </row>
    <row r="430" spans="38:46">
      <c r="AL430" s="346">
        <v>20</v>
      </c>
      <c r="AM430" s="342" t="s">
        <v>16</v>
      </c>
      <c r="AN430" s="346">
        <v>20770</v>
      </c>
      <c r="AO430" s="342" t="s">
        <v>588</v>
      </c>
      <c r="AP430" t="s">
        <v>1498</v>
      </c>
      <c r="AQ430">
        <v>20770</v>
      </c>
      <c r="AR430" s="350">
        <v>99.08</v>
      </c>
      <c r="AS430" s="350">
        <v>99.29</v>
      </c>
      <c r="AT430" s="350">
        <v>98.79</v>
      </c>
    </row>
    <row r="431" spans="38:46">
      <c r="AL431" s="345">
        <v>20</v>
      </c>
      <c r="AM431" s="341" t="s">
        <v>16</v>
      </c>
      <c r="AN431" s="345">
        <v>20787</v>
      </c>
      <c r="AO431" s="341" t="s">
        <v>604</v>
      </c>
      <c r="AP431" t="s">
        <v>1499</v>
      </c>
      <c r="AQ431">
        <v>20787</v>
      </c>
      <c r="AR431" s="350">
        <v>98.28</v>
      </c>
      <c r="AS431" s="350">
        <v>99.09</v>
      </c>
      <c r="AT431" s="350">
        <v>97.66</v>
      </c>
    </row>
    <row r="432" spans="38:46">
      <c r="AL432" s="346">
        <v>23</v>
      </c>
      <c r="AM432" s="342" t="s">
        <v>18</v>
      </c>
      <c r="AN432" s="346">
        <v>23001</v>
      </c>
      <c r="AO432" s="342" t="s">
        <v>409</v>
      </c>
      <c r="AP432" t="s">
        <v>1500</v>
      </c>
      <c r="AQ432">
        <v>23001</v>
      </c>
      <c r="AR432" s="350">
        <v>98.57</v>
      </c>
      <c r="AS432" s="350">
        <v>99.27</v>
      </c>
      <c r="AT432" s="350">
        <v>95.32</v>
      </c>
    </row>
    <row r="433" spans="38:46">
      <c r="AL433" s="345">
        <v>23</v>
      </c>
      <c r="AM433" s="341" t="s">
        <v>18</v>
      </c>
      <c r="AN433" s="345">
        <v>23068</v>
      </c>
      <c r="AO433" s="341" t="s">
        <v>57</v>
      </c>
      <c r="AP433" t="s">
        <v>1501</v>
      </c>
      <c r="AQ433">
        <v>23068</v>
      </c>
      <c r="AR433" s="350">
        <v>91.39</v>
      </c>
      <c r="AS433" s="350">
        <v>97.99</v>
      </c>
      <c r="AT433" s="350">
        <v>80.45</v>
      </c>
    </row>
    <row r="434" spans="38:46">
      <c r="AL434" s="346">
        <v>23</v>
      </c>
      <c r="AM434" s="342" t="s">
        <v>18</v>
      </c>
      <c r="AN434" s="346">
        <v>23079</v>
      </c>
      <c r="AO434" s="342" t="s">
        <v>70</v>
      </c>
      <c r="AP434" t="s">
        <v>1502</v>
      </c>
      <c r="AQ434">
        <v>23079</v>
      </c>
      <c r="AR434" s="350">
        <v>98.32</v>
      </c>
      <c r="AS434" s="350">
        <v>99.11</v>
      </c>
      <c r="AT434" s="350">
        <v>97.76</v>
      </c>
    </row>
    <row r="435" spans="38:46">
      <c r="AL435" s="345">
        <v>23</v>
      </c>
      <c r="AM435" s="341" t="s">
        <v>18</v>
      </c>
      <c r="AN435" s="345">
        <v>23090</v>
      </c>
      <c r="AO435" s="341" t="s">
        <v>117</v>
      </c>
      <c r="AP435" t="s">
        <v>1503</v>
      </c>
      <c r="AQ435">
        <v>23090</v>
      </c>
      <c r="AR435" s="350">
        <v>98.07</v>
      </c>
      <c r="AS435" s="350">
        <v>99.81</v>
      </c>
      <c r="AT435" s="350">
        <v>97.43</v>
      </c>
    </row>
    <row r="436" spans="38:46">
      <c r="AL436" s="346">
        <v>23</v>
      </c>
      <c r="AM436" s="342" t="s">
        <v>18</v>
      </c>
      <c r="AN436" s="346">
        <v>23162</v>
      </c>
      <c r="AO436" s="342" t="s">
        <v>148</v>
      </c>
      <c r="AP436" t="s">
        <v>1504</v>
      </c>
      <c r="AQ436">
        <v>23162</v>
      </c>
      <c r="AR436" s="350">
        <v>98.18</v>
      </c>
      <c r="AS436" s="350">
        <v>98.75</v>
      </c>
      <c r="AT436" s="350">
        <v>97.31</v>
      </c>
    </row>
    <row r="437" spans="38:46">
      <c r="AL437" s="345">
        <v>23</v>
      </c>
      <c r="AM437" s="341" t="s">
        <v>18</v>
      </c>
      <c r="AN437" s="345">
        <v>23168</v>
      </c>
      <c r="AO437" s="341" t="s">
        <v>179</v>
      </c>
      <c r="AP437" t="s">
        <v>1505</v>
      </c>
      <c r="AQ437">
        <v>23168</v>
      </c>
      <c r="AR437" s="350">
        <v>95.12</v>
      </c>
      <c r="AS437" s="350">
        <v>99</v>
      </c>
      <c r="AT437" s="350">
        <v>93.98</v>
      </c>
    </row>
    <row r="438" spans="38:46">
      <c r="AL438" s="346">
        <v>23</v>
      </c>
      <c r="AM438" s="342" t="s">
        <v>18</v>
      </c>
      <c r="AN438" s="346">
        <v>23182</v>
      </c>
      <c r="AO438" s="342" t="s">
        <v>207</v>
      </c>
      <c r="AP438" t="s">
        <v>1506</v>
      </c>
      <c r="AQ438">
        <v>23182</v>
      </c>
      <c r="AR438" s="350">
        <v>97.32</v>
      </c>
      <c r="AS438" s="350">
        <v>97.55</v>
      </c>
      <c r="AT438" s="350">
        <v>97.12</v>
      </c>
    </row>
    <row r="439" spans="38:46">
      <c r="AL439" s="345">
        <v>23</v>
      </c>
      <c r="AM439" s="341" t="s">
        <v>18</v>
      </c>
      <c r="AN439" s="345">
        <v>23189</v>
      </c>
      <c r="AO439" s="341" t="s">
        <v>235</v>
      </c>
      <c r="AP439" t="s">
        <v>1507</v>
      </c>
      <c r="AQ439">
        <v>23189</v>
      </c>
      <c r="AR439" s="350">
        <v>97.5</v>
      </c>
      <c r="AS439" s="350">
        <v>99.42</v>
      </c>
      <c r="AT439" s="350">
        <v>96.18</v>
      </c>
    </row>
    <row r="440" spans="38:46">
      <c r="AL440" s="346">
        <v>23</v>
      </c>
      <c r="AM440" s="342" t="s">
        <v>18</v>
      </c>
      <c r="AN440" s="346">
        <v>23300</v>
      </c>
      <c r="AO440" s="342" t="s">
        <v>262</v>
      </c>
      <c r="AP440" t="s">
        <v>1508</v>
      </c>
      <c r="AQ440">
        <v>23300</v>
      </c>
      <c r="AR440" s="350">
        <v>98.78</v>
      </c>
      <c r="AS440" s="350">
        <v>99.66</v>
      </c>
      <c r="AT440" s="350">
        <v>98.31</v>
      </c>
    </row>
    <row r="441" spans="38:46">
      <c r="AL441" s="345">
        <v>23</v>
      </c>
      <c r="AM441" s="341" t="s">
        <v>18</v>
      </c>
      <c r="AN441" s="345">
        <v>23350</v>
      </c>
      <c r="AO441" s="341" t="s">
        <v>289</v>
      </c>
      <c r="AP441" t="s">
        <v>1509</v>
      </c>
      <c r="AQ441">
        <v>23350</v>
      </c>
      <c r="AR441" s="350">
        <v>98.62</v>
      </c>
      <c r="AS441" s="350">
        <v>98.99</v>
      </c>
      <c r="AT441" s="350">
        <v>97.08</v>
      </c>
    </row>
    <row r="442" spans="38:46">
      <c r="AL442" s="346">
        <v>23</v>
      </c>
      <c r="AM442" s="342" t="s">
        <v>18</v>
      </c>
      <c r="AN442" s="346">
        <v>23417</v>
      </c>
      <c r="AO442" s="342" t="s">
        <v>314</v>
      </c>
      <c r="AP442" t="s">
        <v>1510</v>
      </c>
      <c r="AQ442">
        <v>23417</v>
      </c>
      <c r="AR442" s="350">
        <v>99.36</v>
      </c>
      <c r="AS442" s="350">
        <v>99.59</v>
      </c>
      <c r="AT442" s="350">
        <v>99.13</v>
      </c>
    </row>
    <row r="443" spans="38:46">
      <c r="AL443" s="345">
        <v>23</v>
      </c>
      <c r="AM443" s="341" t="s">
        <v>18</v>
      </c>
      <c r="AN443" s="345">
        <v>23419</v>
      </c>
      <c r="AO443" s="341" t="s">
        <v>338</v>
      </c>
      <c r="AP443" t="s">
        <v>1511</v>
      </c>
      <c r="AQ443">
        <v>23419</v>
      </c>
      <c r="AR443" s="350">
        <v>99.35</v>
      </c>
      <c r="AS443" s="350">
        <v>99.22</v>
      </c>
      <c r="AT443" s="350">
        <v>99.38</v>
      </c>
    </row>
    <row r="444" spans="38:46">
      <c r="AL444" s="346">
        <v>23</v>
      </c>
      <c r="AM444" s="342" t="s">
        <v>18</v>
      </c>
      <c r="AN444" s="346">
        <v>23464</v>
      </c>
      <c r="AO444" s="342" t="s">
        <v>363</v>
      </c>
      <c r="AP444" t="s">
        <v>1512</v>
      </c>
      <c r="AQ444">
        <v>23464</v>
      </c>
      <c r="AR444" s="350">
        <v>97.68</v>
      </c>
      <c r="AS444" s="350">
        <v>98.77</v>
      </c>
      <c r="AT444" s="350">
        <v>95.47</v>
      </c>
    </row>
    <row r="445" spans="38:46">
      <c r="AL445" s="345">
        <v>23</v>
      </c>
      <c r="AM445" s="341" t="s">
        <v>18</v>
      </c>
      <c r="AN445" s="345">
        <v>23466</v>
      </c>
      <c r="AO445" s="341" t="s">
        <v>386</v>
      </c>
      <c r="AP445" t="s">
        <v>1513</v>
      </c>
      <c r="AQ445">
        <v>23466</v>
      </c>
      <c r="AR445" s="350">
        <v>96.18</v>
      </c>
      <c r="AS445" s="350">
        <v>99.48</v>
      </c>
      <c r="AT445" s="350">
        <v>84.22</v>
      </c>
    </row>
    <row r="446" spans="38:46">
      <c r="AL446" s="346">
        <v>23</v>
      </c>
      <c r="AM446" s="342" t="s">
        <v>18</v>
      </c>
      <c r="AN446" s="346">
        <v>23500</v>
      </c>
      <c r="AO446" s="342" t="s">
        <v>432</v>
      </c>
      <c r="AP446" t="s">
        <v>1514</v>
      </c>
      <c r="AQ446">
        <v>23500</v>
      </c>
      <c r="AR446" s="350">
        <v>95.93</v>
      </c>
      <c r="AS446" s="350">
        <v>96.04</v>
      </c>
      <c r="AT446" s="350">
        <v>95.89</v>
      </c>
    </row>
    <row r="447" spans="38:46">
      <c r="AL447" s="345">
        <v>23</v>
      </c>
      <c r="AM447" s="341" t="s">
        <v>18</v>
      </c>
      <c r="AN447" s="345">
        <v>23555</v>
      </c>
      <c r="AO447" s="341" t="s">
        <v>455</v>
      </c>
      <c r="AP447" t="s">
        <v>1515</v>
      </c>
      <c r="AQ447">
        <v>23555</v>
      </c>
      <c r="AR447" s="350">
        <v>96.33</v>
      </c>
      <c r="AS447" s="350">
        <v>97.69</v>
      </c>
      <c r="AT447" s="350">
        <v>93.54</v>
      </c>
    </row>
    <row r="448" spans="38:46">
      <c r="AL448" s="346">
        <v>23</v>
      </c>
      <c r="AM448" s="342" t="s">
        <v>18</v>
      </c>
      <c r="AN448" s="346">
        <v>23570</v>
      </c>
      <c r="AO448" s="342" t="s">
        <v>475</v>
      </c>
      <c r="AP448" t="s">
        <v>1516</v>
      </c>
      <c r="AQ448">
        <v>23570</v>
      </c>
      <c r="AR448" s="350">
        <v>97.13</v>
      </c>
      <c r="AS448" s="350">
        <v>99.08</v>
      </c>
      <c r="AT448" s="350">
        <v>96.08</v>
      </c>
    </row>
    <row r="449" spans="38:46">
      <c r="AL449" s="345">
        <v>23</v>
      </c>
      <c r="AM449" s="341" t="s">
        <v>18</v>
      </c>
      <c r="AN449" s="345">
        <v>23574</v>
      </c>
      <c r="AO449" s="341" t="s">
        <v>495</v>
      </c>
      <c r="AP449" t="s">
        <v>1517</v>
      </c>
      <c r="AQ449">
        <v>23574</v>
      </c>
      <c r="AR449" s="350">
        <v>97.54</v>
      </c>
      <c r="AS449" s="350">
        <v>98.87</v>
      </c>
      <c r="AT449" s="350">
        <v>97.2</v>
      </c>
    </row>
    <row r="450" spans="38:46">
      <c r="AL450" s="346">
        <v>23</v>
      </c>
      <c r="AM450" s="342" t="s">
        <v>18</v>
      </c>
      <c r="AN450" s="346">
        <v>23580</v>
      </c>
      <c r="AO450" s="342" t="s">
        <v>515</v>
      </c>
      <c r="AP450" t="s">
        <v>1518</v>
      </c>
      <c r="AQ450">
        <v>23580</v>
      </c>
      <c r="AR450" s="350">
        <v>90.9</v>
      </c>
      <c r="AS450" s="350">
        <v>99.51</v>
      </c>
      <c r="AT450" s="350">
        <v>86.38</v>
      </c>
    </row>
    <row r="451" spans="38:46">
      <c r="AL451" s="345">
        <v>23</v>
      </c>
      <c r="AM451" s="341" t="s">
        <v>18</v>
      </c>
      <c r="AN451" s="345">
        <v>23586</v>
      </c>
      <c r="AO451" s="341" t="s">
        <v>533</v>
      </c>
      <c r="AP451" t="s">
        <v>1519</v>
      </c>
      <c r="AQ451">
        <v>23586</v>
      </c>
      <c r="AR451" s="350">
        <v>97.19</v>
      </c>
      <c r="AS451" s="350">
        <v>98.3</v>
      </c>
      <c r="AT451" s="350">
        <v>96.13</v>
      </c>
    </row>
    <row r="452" spans="38:46">
      <c r="AL452" s="346">
        <v>23</v>
      </c>
      <c r="AM452" s="342" t="s">
        <v>18</v>
      </c>
      <c r="AN452" s="346">
        <v>23660</v>
      </c>
      <c r="AO452" s="342" t="s">
        <v>552</v>
      </c>
      <c r="AP452" t="s">
        <v>1520</v>
      </c>
      <c r="AQ452">
        <v>23660</v>
      </c>
      <c r="AR452" s="350">
        <v>97.94</v>
      </c>
      <c r="AS452" s="350">
        <v>98.46</v>
      </c>
      <c r="AT452" s="350">
        <v>97.33</v>
      </c>
    </row>
    <row r="453" spans="38:46">
      <c r="AL453" s="345">
        <v>23</v>
      </c>
      <c r="AM453" s="341" t="s">
        <v>18</v>
      </c>
      <c r="AN453" s="345">
        <v>23670</v>
      </c>
      <c r="AO453" s="341" t="s">
        <v>569</v>
      </c>
      <c r="AP453" t="s">
        <v>1521</v>
      </c>
      <c r="AQ453">
        <v>23670</v>
      </c>
      <c r="AR453" s="350">
        <v>84.94</v>
      </c>
      <c r="AS453" s="350">
        <v>94.06</v>
      </c>
      <c r="AT453" s="350">
        <v>81.84</v>
      </c>
    </row>
    <row r="454" spans="38:46">
      <c r="AL454" s="346">
        <v>23</v>
      </c>
      <c r="AM454" s="342" t="s">
        <v>18</v>
      </c>
      <c r="AN454" s="346">
        <v>23672</v>
      </c>
      <c r="AO454" s="342" t="s">
        <v>590</v>
      </c>
      <c r="AP454" t="s">
        <v>1522</v>
      </c>
      <c r="AQ454">
        <v>23672</v>
      </c>
      <c r="AR454" s="350">
        <v>93.96</v>
      </c>
      <c r="AS454" s="350">
        <v>97.21</v>
      </c>
      <c r="AT454" s="350">
        <v>90.4</v>
      </c>
    </row>
    <row r="455" spans="38:46">
      <c r="AL455" s="345">
        <v>23</v>
      </c>
      <c r="AM455" s="341" t="s">
        <v>18</v>
      </c>
      <c r="AN455" s="345">
        <v>23675</v>
      </c>
      <c r="AO455" s="341" t="s">
        <v>606</v>
      </c>
      <c r="AP455" t="s">
        <v>1523</v>
      </c>
      <c r="AQ455">
        <v>23675</v>
      </c>
      <c r="AR455" s="350">
        <v>97.8</v>
      </c>
      <c r="AS455" s="350">
        <v>96.76</v>
      </c>
      <c r="AT455" s="350">
        <v>98.25</v>
      </c>
    </row>
    <row r="456" spans="38:46">
      <c r="AL456" s="346">
        <v>23</v>
      </c>
      <c r="AM456" s="342" t="s">
        <v>18</v>
      </c>
      <c r="AN456" s="346">
        <v>23678</v>
      </c>
      <c r="AO456" s="342" t="s">
        <v>623</v>
      </c>
      <c r="AP456" t="s">
        <v>1524</v>
      </c>
      <c r="AQ456">
        <v>23678</v>
      </c>
      <c r="AR456" s="350">
        <v>95.29</v>
      </c>
      <c r="AS456" s="350">
        <v>97.62</v>
      </c>
      <c r="AT456" s="350">
        <v>94.71</v>
      </c>
    </row>
    <row r="457" spans="38:46">
      <c r="AL457" s="345">
        <v>23</v>
      </c>
      <c r="AM457" s="341" t="s">
        <v>18</v>
      </c>
      <c r="AN457" s="345">
        <v>23682</v>
      </c>
      <c r="AO457" s="341" t="s">
        <v>640</v>
      </c>
      <c r="AP457" t="s">
        <v>1525</v>
      </c>
      <c r="AQ457">
        <v>23682</v>
      </c>
      <c r="AR457" s="350">
        <v>89.91</v>
      </c>
      <c r="AS457" s="350">
        <v>99.5</v>
      </c>
      <c r="AT457" s="350">
        <v>81.56</v>
      </c>
    </row>
    <row r="458" spans="38:46">
      <c r="AL458" s="346">
        <v>23</v>
      </c>
      <c r="AM458" s="342" t="s">
        <v>18</v>
      </c>
      <c r="AN458" s="346">
        <v>23686</v>
      </c>
      <c r="AO458" s="342" t="s">
        <v>656</v>
      </c>
      <c r="AP458" t="s">
        <v>1526</v>
      </c>
      <c r="AQ458">
        <v>23686</v>
      </c>
      <c r="AR458" s="350">
        <v>96.71</v>
      </c>
      <c r="AS458" s="350">
        <v>99.12</v>
      </c>
      <c r="AT458" s="350">
        <v>96.04</v>
      </c>
    </row>
    <row r="459" spans="38:46">
      <c r="AL459" s="345">
        <v>23</v>
      </c>
      <c r="AM459" s="341" t="s">
        <v>18</v>
      </c>
      <c r="AN459" s="345">
        <v>23807</v>
      </c>
      <c r="AO459" s="341" t="s">
        <v>671</v>
      </c>
      <c r="AP459" t="s">
        <v>1527</v>
      </c>
      <c r="AQ459">
        <v>23807</v>
      </c>
      <c r="AR459" s="350">
        <v>85.2</v>
      </c>
      <c r="AS459" s="350">
        <v>98.72</v>
      </c>
      <c r="AT459" s="350">
        <v>71.89</v>
      </c>
    </row>
    <row r="460" spans="38:46">
      <c r="AL460" s="346">
        <v>23</v>
      </c>
      <c r="AM460" s="342" t="s">
        <v>18</v>
      </c>
      <c r="AN460" s="346">
        <v>23815</v>
      </c>
      <c r="AO460" s="342" t="s">
        <v>685</v>
      </c>
      <c r="AP460" t="s">
        <v>1528</v>
      </c>
      <c r="AQ460">
        <v>23815</v>
      </c>
      <c r="AR460" s="350">
        <v>87.21</v>
      </c>
      <c r="AS460" s="350">
        <v>95.77</v>
      </c>
      <c r="AT460" s="350">
        <v>85.03</v>
      </c>
    </row>
    <row r="461" spans="38:46">
      <c r="AL461" s="345">
        <v>23</v>
      </c>
      <c r="AM461" s="341" t="s">
        <v>18</v>
      </c>
      <c r="AN461" s="345">
        <v>23855</v>
      </c>
      <c r="AO461" s="341" t="s">
        <v>701</v>
      </c>
      <c r="AP461" t="s">
        <v>1529</v>
      </c>
      <c r="AQ461">
        <v>23855</v>
      </c>
      <c r="AR461" s="350">
        <v>89.83</v>
      </c>
      <c r="AS461" s="350">
        <v>99.48</v>
      </c>
      <c r="AT461" s="350">
        <v>81.680000000000007</v>
      </c>
    </row>
    <row r="462" spans="38:46">
      <c r="AL462" s="346">
        <v>25</v>
      </c>
      <c r="AM462" s="342" t="s">
        <v>19</v>
      </c>
      <c r="AN462" s="346">
        <v>25001</v>
      </c>
      <c r="AO462" s="342" t="s">
        <v>58</v>
      </c>
      <c r="AP462" t="s">
        <v>1530</v>
      </c>
      <c r="AQ462">
        <v>25001</v>
      </c>
      <c r="AR462" s="350">
        <v>98.6</v>
      </c>
      <c r="AS462" s="350">
        <v>98.99</v>
      </c>
      <c r="AT462" s="350">
        <v>96.95</v>
      </c>
    </row>
    <row r="463" spans="38:46">
      <c r="AL463" s="345">
        <v>25</v>
      </c>
      <c r="AM463" s="341" t="s">
        <v>19</v>
      </c>
      <c r="AN463" s="345">
        <v>25019</v>
      </c>
      <c r="AO463" s="341" t="s">
        <v>64</v>
      </c>
      <c r="AP463" t="s">
        <v>1531</v>
      </c>
      <c r="AQ463">
        <v>25019</v>
      </c>
      <c r="AR463" s="350">
        <v>96.76</v>
      </c>
      <c r="AS463" s="350">
        <v>98.25</v>
      </c>
      <c r="AT463" s="350">
        <v>96.21</v>
      </c>
    </row>
    <row r="464" spans="38:46">
      <c r="AL464" s="346">
        <v>25</v>
      </c>
      <c r="AM464" s="342" t="s">
        <v>19</v>
      </c>
      <c r="AN464" s="346">
        <v>25035</v>
      </c>
      <c r="AO464" s="342" t="s">
        <v>118</v>
      </c>
      <c r="AP464" t="s">
        <v>1532</v>
      </c>
      <c r="AQ464">
        <v>25035</v>
      </c>
      <c r="AR464" s="350">
        <v>96.95</v>
      </c>
      <c r="AS464" s="350">
        <v>99.28</v>
      </c>
      <c r="AT464" s="350">
        <v>94.94</v>
      </c>
    </row>
    <row r="465" spans="38:46">
      <c r="AL465" s="345">
        <v>25</v>
      </c>
      <c r="AM465" s="341" t="s">
        <v>19</v>
      </c>
      <c r="AN465" s="345">
        <v>25040</v>
      </c>
      <c r="AO465" s="341" t="s">
        <v>149</v>
      </c>
      <c r="AP465" t="s">
        <v>1533</v>
      </c>
      <c r="AQ465">
        <v>25040</v>
      </c>
      <c r="AR465" s="350">
        <v>95.53</v>
      </c>
      <c r="AS465" s="350">
        <v>98.74</v>
      </c>
      <c r="AT465" s="350">
        <v>93.98</v>
      </c>
    </row>
    <row r="466" spans="38:46">
      <c r="AL466" s="346">
        <v>25</v>
      </c>
      <c r="AM466" s="342" t="s">
        <v>19</v>
      </c>
      <c r="AN466" s="346">
        <v>25053</v>
      </c>
      <c r="AO466" s="342" t="s">
        <v>208</v>
      </c>
      <c r="AP466" t="s">
        <v>1534</v>
      </c>
      <c r="AQ466">
        <v>25053</v>
      </c>
      <c r="AR466" s="350">
        <v>98.39</v>
      </c>
      <c r="AS466" s="350">
        <v>99.21</v>
      </c>
      <c r="AT466" s="350">
        <v>97.8</v>
      </c>
    </row>
    <row r="467" spans="38:46">
      <c r="AL467" s="345">
        <v>25</v>
      </c>
      <c r="AM467" s="341" t="s">
        <v>19</v>
      </c>
      <c r="AN467" s="345">
        <v>25086</v>
      </c>
      <c r="AO467" s="341" t="s">
        <v>236</v>
      </c>
      <c r="AP467" t="s">
        <v>1535</v>
      </c>
      <c r="AQ467">
        <v>25086</v>
      </c>
      <c r="AR467" s="350">
        <v>88.14</v>
      </c>
      <c r="AS467" s="350">
        <v>93.57</v>
      </c>
      <c r="AT467" s="350">
        <v>86.63</v>
      </c>
    </row>
    <row r="468" spans="38:46">
      <c r="AL468" s="346">
        <v>25</v>
      </c>
      <c r="AM468" s="342" t="s">
        <v>19</v>
      </c>
      <c r="AN468" s="346">
        <v>25095</v>
      </c>
      <c r="AO468" s="342" t="s">
        <v>263</v>
      </c>
      <c r="AP468" t="s">
        <v>1536</v>
      </c>
      <c r="AQ468">
        <v>25095</v>
      </c>
      <c r="AR468" s="350">
        <v>89.46</v>
      </c>
      <c r="AS468" s="350">
        <v>96.88</v>
      </c>
      <c r="AT468" s="350">
        <v>87.84</v>
      </c>
    </row>
    <row r="469" spans="38:46">
      <c r="AL469" s="345">
        <v>25</v>
      </c>
      <c r="AM469" s="341" t="s">
        <v>19</v>
      </c>
      <c r="AN469" s="345">
        <v>25099</v>
      </c>
      <c r="AO469" s="341" t="s">
        <v>290</v>
      </c>
      <c r="AP469" t="s">
        <v>1537</v>
      </c>
      <c r="AQ469">
        <v>25099</v>
      </c>
      <c r="AR469" s="350">
        <v>98.76</v>
      </c>
      <c r="AS469" s="350">
        <v>99.4</v>
      </c>
      <c r="AT469" s="350">
        <v>96.5</v>
      </c>
    </row>
    <row r="470" spans="38:46">
      <c r="AL470" s="346">
        <v>25</v>
      </c>
      <c r="AM470" s="342" t="s">
        <v>19</v>
      </c>
      <c r="AN470" s="346">
        <v>25120</v>
      </c>
      <c r="AO470" s="342" t="s">
        <v>315</v>
      </c>
      <c r="AP470" t="s">
        <v>1538</v>
      </c>
      <c r="AQ470">
        <v>25120</v>
      </c>
      <c r="AR470" s="350">
        <v>90.75</v>
      </c>
      <c r="AS470" s="350">
        <v>100</v>
      </c>
      <c r="AT470" s="350">
        <v>87.17</v>
      </c>
    </row>
    <row r="471" spans="38:46">
      <c r="AL471" s="345">
        <v>25</v>
      </c>
      <c r="AM471" s="341" t="s">
        <v>19</v>
      </c>
      <c r="AN471" s="345">
        <v>25123</v>
      </c>
      <c r="AO471" s="341" t="s">
        <v>339</v>
      </c>
      <c r="AP471" t="s">
        <v>1539</v>
      </c>
      <c r="AQ471">
        <v>25123</v>
      </c>
      <c r="AR471" s="350">
        <v>96.27</v>
      </c>
      <c r="AS471" s="350">
        <v>99.31</v>
      </c>
      <c r="AT471" s="350">
        <v>94.46</v>
      </c>
    </row>
    <row r="472" spans="38:46">
      <c r="AL472" s="346">
        <v>25</v>
      </c>
      <c r="AM472" s="342" t="s">
        <v>19</v>
      </c>
      <c r="AN472" s="346">
        <v>25126</v>
      </c>
      <c r="AO472" s="342" t="s">
        <v>364</v>
      </c>
      <c r="AP472" t="s">
        <v>1540</v>
      </c>
      <c r="AQ472">
        <v>25126</v>
      </c>
      <c r="AR472" s="350">
        <v>99.75</v>
      </c>
      <c r="AS472" s="350">
        <v>99.8</v>
      </c>
      <c r="AT472" s="350">
        <v>99.65</v>
      </c>
    </row>
    <row r="473" spans="38:46">
      <c r="AL473" s="345">
        <v>25</v>
      </c>
      <c r="AM473" s="341" t="s">
        <v>19</v>
      </c>
      <c r="AN473" s="345">
        <v>25148</v>
      </c>
      <c r="AO473" s="341" t="s">
        <v>387</v>
      </c>
      <c r="AP473" t="s">
        <v>1541</v>
      </c>
      <c r="AQ473">
        <v>25148</v>
      </c>
      <c r="AR473" s="350">
        <v>95.15</v>
      </c>
      <c r="AS473" s="350">
        <v>99.19</v>
      </c>
      <c r="AT473" s="350">
        <v>93.82</v>
      </c>
    </row>
    <row r="474" spans="38:46">
      <c r="AL474" s="346">
        <v>25</v>
      </c>
      <c r="AM474" s="342" t="s">
        <v>19</v>
      </c>
      <c r="AN474" s="346">
        <v>25151</v>
      </c>
      <c r="AO474" s="342" t="s">
        <v>410</v>
      </c>
      <c r="AP474" t="s">
        <v>1542</v>
      </c>
      <c r="AQ474">
        <v>25151</v>
      </c>
      <c r="AR474" s="350">
        <v>98.54</v>
      </c>
      <c r="AS474" s="350">
        <v>99.61</v>
      </c>
      <c r="AT474" s="350">
        <v>97.56</v>
      </c>
    </row>
    <row r="475" spans="38:46">
      <c r="AL475" s="345">
        <v>25</v>
      </c>
      <c r="AM475" s="341" t="s">
        <v>19</v>
      </c>
      <c r="AN475" s="345">
        <v>25154</v>
      </c>
      <c r="AO475" s="341" t="s">
        <v>433</v>
      </c>
      <c r="AP475" t="s">
        <v>1543</v>
      </c>
      <c r="AQ475">
        <v>25154</v>
      </c>
      <c r="AR475" s="350">
        <v>97.28</v>
      </c>
      <c r="AS475" s="350">
        <v>99.09</v>
      </c>
      <c r="AT475" s="350">
        <v>96.55</v>
      </c>
    </row>
    <row r="476" spans="38:46">
      <c r="AL476" s="346">
        <v>25</v>
      </c>
      <c r="AM476" s="342" t="s">
        <v>19</v>
      </c>
      <c r="AN476" s="346">
        <v>25168</v>
      </c>
      <c r="AO476" s="342" t="s">
        <v>456</v>
      </c>
      <c r="AP476" t="s">
        <v>1544</v>
      </c>
      <c r="AQ476">
        <v>25168</v>
      </c>
      <c r="AR476" s="350">
        <v>87.6</v>
      </c>
      <c r="AS476" s="350">
        <v>97.78</v>
      </c>
      <c r="AT476" s="350">
        <v>84.1</v>
      </c>
    </row>
    <row r="477" spans="38:46">
      <c r="AL477" s="345">
        <v>25</v>
      </c>
      <c r="AM477" s="341" t="s">
        <v>19</v>
      </c>
      <c r="AN477" s="345">
        <v>25175</v>
      </c>
      <c r="AO477" s="341" t="s">
        <v>476</v>
      </c>
      <c r="AP477" t="s">
        <v>1545</v>
      </c>
      <c r="AQ477">
        <v>25175</v>
      </c>
      <c r="AR477" s="350">
        <v>99.67</v>
      </c>
      <c r="AS477" s="350">
        <v>99.76</v>
      </c>
      <c r="AT477" s="350">
        <v>99.32</v>
      </c>
    </row>
    <row r="478" spans="38:46">
      <c r="AL478" s="346">
        <v>25</v>
      </c>
      <c r="AM478" s="342" t="s">
        <v>19</v>
      </c>
      <c r="AN478" s="346">
        <v>25178</v>
      </c>
      <c r="AO478" s="342" t="s">
        <v>496</v>
      </c>
      <c r="AP478" t="s">
        <v>1546</v>
      </c>
      <c r="AQ478">
        <v>25178</v>
      </c>
      <c r="AR478" s="350">
        <v>96.25</v>
      </c>
      <c r="AS478" s="350">
        <v>99.27</v>
      </c>
      <c r="AT478" s="350">
        <v>94.92</v>
      </c>
    </row>
    <row r="479" spans="38:46">
      <c r="AL479" s="345">
        <v>25</v>
      </c>
      <c r="AM479" s="341" t="s">
        <v>19</v>
      </c>
      <c r="AN479" s="345">
        <v>25181</v>
      </c>
      <c r="AO479" s="341" t="s">
        <v>516</v>
      </c>
      <c r="AP479" t="s">
        <v>1547</v>
      </c>
      <c r="AQ479">
        <v>25181</v>
      </c>
      <c r="AR479" s="350">
        <v>97.57</v>
      </c>
      <c r="AS479" s="350">
        <v>99.4</v>
      </c>
      <c r="AT479" s="350">
        <v>96.41</v>
      </c>
    </row>
    <row r="480" spans="38:46">
      <c r="AL480" s="346">
        <v>25</v>
      </c>
      <c r="AM480" s="342" t="s">
        <v>19</v>
      </c>
      <c r="AN480" s="346">
        <v>25183</v>
      </c>
      <c r="AO480" s="342" t="s">
        <v>534</v>
      </c>
      <c r="AP480" t="s">
        <v>1548</v>
      </c>
      <c r="AQ480">
        <v>25183</v>
      </c>
      <c r="AR480" s="350">
        <v>98.59</v>
      </c>
      <c r="AS480" s="350">
        <v>99.74</v>
      </c>
      <c r="AT480" s="350">
        <v>97.34</v>
      </c>
    </row>
    <row r="481" spans="38:46">
      <c r="AL481" s="345">
        <v>25</v>
      </c>
      <c r="AM481" s="341" t="s">
        <v>19</v>
      </c>
      <c r="AN481" s="345">
        <v>25200</v>
      </c>
      <c r="AO481" s="341" t="s">
        <v>553</v>
      </c>
      <c r="AP481" t="s">
        <v>1549</v>
      </c>
      <c r="AQ481">
        <v>25200</v>
      </c>
      <c r="AR481" s="350">
        <v>99.64</v>
      </c>
      <c r="AS481" s="350">
        <v>99.91</v>
      </c>
      <c r="AT481" s="350">
        <v>99.49</v>
      </c>
    </row>
    <row r="482" spans="38:46">
      <c r="AL482" s="346">
        <v>25</v>
      </c>
      <c r="AM482" s="342" t="s">
        <v>19</v>
      </c>
      <c r="AN482" s="346">
        <v>25214</v>
      </c>
      <c r="AO482" s="342" t="s">
        <v>570</v>
      </c>
      <c r="AP482" t="s">
        <v>1550</v>
      </c>
      <c r="AQ482">
        <v>25214</v>
      </c>
      <c r="AR482" s="350">
        <v>99.22</v>
      </c>
      <c r="AS482" s="350">
        <v>99.51</v>
      </c>
      <c r="AT482" s="350">
        <v>98.68</v>
      </c>
    </row>
    <row r="483" spans="38:46">
      <c r="AL483" s="345">
        <v>25</v>
      </c>
      <c r="AM483" s="341" t="s">
        <v>19</v>
      </c>
      <c r="AN483" s="345">
        <v>25224</v>
      </c>
      <c r="AO483" s="341" t="s">
        <v>591</v>
      </c>
      <c r="AP483" t="s">
        <v>1551</v>
      </c>
      <c r="AQ483">
        <v>25224</v>
      </c>
      <c r="AR483" s="350">
        <v>94.34</v>
      </c>
      <c r="AS483" s="350">
        <v>98.84</v>
      </c>
      <c r="AT483" s="350">
        <v>93.42</v>
      </c>
    </row>
    <row r="484" spans="38:46">
      <c r="AL484" s="346">
        <v>25</v>
      </c>
      <c r="AM484" s="342" t="s">
        <v>19</v>
      </c>
      <c r="AN484" s="346">
        <v>25245</v>
      </c>
      <c r="AO484" s="342" t="s">
        <v>607</v>
      </c>
      <c r="AP484" t="s">
        <v>1552</v>
      </c>
      <c r="AQ484">
        <v>25245</v>
      </c>
      <c r="AR484" s="350">
        <v>98.74</v>
      </c>
      <c r="AS484" s="350">
        <v>99.74</v>
      </c>
      <c r="AT484" s="350">
        <v>98.01</v>
      </c>
    </row>
    <row r="485" spans="38:46">
      <c r="AL485" s="345">
        <v>25</v>
      </c>
      <c r="AM485" s="341" t="s">
        <v>19</v>
      </c>
      <c r="AN485" s="345">
        <v>25258</v>
      </c>
      <c r="AO485" s="341" t="s">
        <v>424</v>
      </c>
      <c r="AP485" t="s">
        <v>1553</v>
      </c>
      <c r="AQ485">
        <v>25258</v>
      </c>
      <c r="AR485" s="350">
        <v>91.22</v>
      </c>
      <c r="AS485" s="350">
        <v>99.43</v>
      </c>
      <c r="AT485" s="350">
        <v>90.06</v>
      </c>
    </row>
    <row r="486" spans="38:46">
      <c r="AL486" s="346">
        <v>25</v>
      </c>
      <c r="AM486" s="342" t="s">
        <v>19</v>
      </c>
      <c r="AN486" s="346">
        <v>25260</v>
      </c>
      <c r="AO486" s="342" t="s">
        <v>641</v>
      </c>
      <c r="AP486" t="s">
        <v>1554</v>
      </c>
      <c r="AQ486">
        <v>25260</v>
      </c>
      <c r="AR486" s="350">
        <v>99.91</v>
      </c>
      <c r="AS486" s="350">
        <v>100</v>
      </c>
      <c r="AT486" s="350">
        <v>99.35</v>
      </c>
    </row>
    <row r="487" spans="38:46">
      <c r="AL487" s="345">
        <v>25</v>
      </c>
      <c r="AM487" s="341" t="s">
        <v>19</v>
      </c>
      <c r="AN487" s="345">
        <v>25269</v>
      </c>
      <c r="AO487" s="341" t="s">
        <v>657</v>
      </c>
      <c r="AP487" t="s">
        <v>1555</v>
      </c>
      <c r="AQ487">
        <v>25269</v>
      </c>
      <c r="AR487" s="350">
        <v>99.68</v>
      </c>
      <c r="AS487" s="350">
        <v>99.79</v>
      </c>
      <c r="AT487" s="350">
        <v>98.47</v>
      </c>
    </row>
    <row r="488" spans="38:46">
      <c r="AL488" s="346">
        <v>25</v>
      </c>
      <c r="AM488" s="342" t="s">
        <v>19</v>
      </c>
      <c r="AN488" s="346">
        <v>25279</v>
      </c>
      <c r="AO488" s="342" t="s">
        <v>672</v>
      </c>
      <c r="AP488" t="s">
        <v>1556</v>
      </c>
      <c r="AQ488">
        <v>25279</v>
      </c>
      <c r="AR488" s="350">
        <v>96.08</v>
      </c>
      <c r="AS488" s="350">
        <v>99.87</v>
      </c>
      <c r="AT488" s="350">
        <v>93.42</v>
      </c>
    </row>
    <row r="489" spans="38:46">
      <c r="AL489" s="345">
        <v>25</v>
      </c>
      <c r="AM489" s="341" t="s">
        <v>19</v>
      </c>
      <c r="AN489" s="345">
        <v>25281</v>
      </c>
      <c r="AO489" s="341" t="s">
        <v>686</v>
      </c>
      <c r="AP489" t="s">
        <v>1557</v>
      </c>
      <c r="AQ489">
        <v>25281</v>
      </c>
      <c r="AR489" s="350">
        <v>93.96</v>
      </c>
      <c r="AS489" s="350">
        <v>99.24</v>
      </c>
      <c r="AT489" s="350">
        <v>92.41</v>
      </c>
    </row>
    <row r="490" spans="38:46">
      <c r="AL490" s="346">
        <v>25</v>
      </c>
      <c r="AM490" s="342" t="s">
        <v>19</v>
      </c>
      <c r="AN490" s="346">
        <v>25286</v>
      </c>
      <c r="AO490" s="342" t="s">
        <v>702</v>
      </c>
      <c r="AP490" t="s">
        <v>1558</v>
      </c>
      <c r="AQ490">
        <v>25286</v>
      </c>
      <c r="AR490" s="350">
        <v>99.81</v>
      </c>
      <c r="AS490" s="350">
        <v>99.88</v>
      </c>
      <c r="AT490" s="350">
        <v>97.36</v>
      </c>
    </row>
    <row r="491" spans="38:46">
      <c r="AL491" s="345">
        <v>25</v>
      </c>
      <c r="AM491" s="341" t="s">
        <v>19</v>
      </c>
      <c r="AN491" s="345">
        <v>25288</v>
      </c>
      <c r="AO491" s="341" t="s">
        <v>715</v>
      </c>
      <c r="AP491" t="s">
        <v>1559</v>
      </c>
      <c r="AQ491">
        <v>25288</v>
      </c>
      <c r="AR491" s="350">
        <v>98.76</v>
      </c>
      <c r="AS491" s="350">
        <v>98.15</v>
      </c>
      <c r="AT491" s="350">
        <v>98.78</v>
      </c>
    </row>
    <row r="492" spans="38:46">
      <c r="AL492" s="346">
        <v>25</v>
      </c>
      <c r="AM492" s="342" t="s">
        <v>19</v>
      </c>
      <c r="AN492" s="346">
        <v>25290</v>
      </c>
      <c r="AO492" s="342" t="s">
        <v>726</v>
      </c>
      <c r="AP492" t="s">
        <v>1560</v>
      </c>
      <c r="AQ492">
        <v>25290</v>
      </c>
      <c r="AR492" s="350">
        <v>99.43</v>
      </c>
      <c r="AS492" s="350">
        <v>99.61</v>
      </c>
      <c r="AT492" s="350">
        <v>98.41</v>
      </c>
    </row>
    <row r="493" spans="38:46">
      <c r="AL493" s="345">
        <v>25</v>
      </c>
      <c r="AM493" s="341" t="s">
        <v>19</v>
      </c>
      <c r="AN493" s="345">
        <v>25293</v>
      </c>
      <c r="AO493" s="341" t="s">
        <v>738</v>
      </c>
      <c r="AP493" t="s">
        <v>1561</v>
      </c>
      <c r="AQ493">
        <v>25293</v>
      </c>
      <c r="AR493" s="350">
        <v>97.1</v>
      </c>
      <c r="AS493" s="350">
        <v>98.06</v>
      </c>
      <c r="AT493" s="350">
        <v>96.62</v>
      </c>
    </row>
    <row r="494" spans="38:46">
      <c r="AL494" s="346">
        <v>25</v>
      </c>
      <c r="AM494" s="342" t="s">
        <v>19</v>
      </c>
      <c r="AN494" s="346">
        <v>25295</v>
      </c>
      <c r="AO494" s="342" t="s">
        <v>748</v>
      </c>
      <c r="AP494" t="s">
        <v>1562</v>
      </c>
      <c r="AQ494">
        <v>25295</v>
      </c>
      <c r="AR494" s="350">
        <v>99.59</v>
      </c>
      <c r="AS494" s="350">
        <v>99.88</v>
      </c>
      <c r="AT494" s="350">
        <v>98.96</v>
      </c>
    </row>
    <row r="495" spans="38:46">
      <c r="AL495" s="345">
        <v>25</v>
      </c>
      <c r="AM495" s="341" t="s">
        <v>19</v>
      </c>
      <c r="AN495" s="345">
        <v>25297</v>
      </c>
      <c r="AO495" s="341" t="s">
        <v>760</v>
      </c>
      <c r="AP495" t="s">
        <v>1563</v>
      </c>
      <c r="AQ495">
        <v>25297</v>
      </c>
      <c r="AR495" s="350">
        <v>97.61</v>
      </c>
      <c r="AS495" s="350">
        <v>99.66</v>
      </c>
      <c r="AT495" s="350">
        <v>96.2</v>
      </c>
    </row>
    <row r="496" spans="38:46">
      <c r="AL496" s="346">
        <v>25</v>
      </c>
      <c r="AM496" s="342" t="s">
        <v>19</v>
      </c>
      <c r="AN496" s="346">
        <v>25299</v>
      </c>
      <c r="AO496" s="342" t="s">
        <v>771</v>
      </c>
      <c r="AP496" t="s">
        <v>1564</v>
      </c>
      <c r="AQ496">
        <v>25299</v>
      </c>
      <c r="AR496" s="350">
        <v>96.71</v>
      </c>
      <c r="AS496" s="350">
        <v>99.1</v>
      </c>
      <c r="AT496" s="350">
        <v>96.06</v>
      </c>
    </row>
    <row r="497" spans="38:46">
      <c r="AL497" s="345">
        <v>25</v>
      </c>
      <c r="AM497" s="341" t="s">
        <v>19</v>
      </c>
      <c r="AN497" s="345">
        <v>25307</v>
      </c>
      <c r="AO497" s="341" t="s">
        <v>780</v>
      </c>
      <c r="AP497" t="s">
        <v>1565</v>
      </c>
      <c r="AQ497">
        <v>25307</v>
      </c>
      <c r="AR497" s="350">
        <v>99</v>
      </c>
      <c r="AS497" s="350">
        <v>99.61</v>
      </c>
      <c r="AT497" s="350">
        <v>88.46</v>
      </c>
    </row>
    <row r="498" spans="38:46">
      <c r="AL498" s="346">
        <v>25</v>
      </c>
      <c r="AM498" s="342" t="s">
        <v>19</v>
      </c>
      <c r="AN498" s="346">
        <v>25312</v>
      </c>
      <c r="AO498" s="342" t="s">
        <v>343</v>
      </c>
      <c r="AP498" t="s">
        <v>1566</v>
      </c>
      <c r="AQ498">
        <v>25312</v>
      </c>
      <c r="AR498" s="350">
        <v>99.23</v>
      </c>
      <c r="AS498" s="350">
        <v>99.3</v>
      </c>
      <c r="AT498" s="350">
        <v>99.2</v>
      </c>
    </row>
    <row r="499" spans="38:46">
      <c r="AL499" s="345">
        <v>25</v>
      </c>
      <c r="AM499" s="341" t="s">
        <v>19</v>
      </c>
      <c r="AN499" s="345">
        <v>25317</v>
      </c>
      <c r="AO499" s="341" t="s">
        <v>801</v>
      </c>
      <c r="AP499" t="s">
        <v>1567</v>
      </c>
      <c r="AQ499">
        <v>25317</v>
      </c>
      <c r="AR499" s="350">
        <v>98.57</v>
      </c>
      <c r="AS499" s="350">
        <v>99.74</v>
      </c>
      <c r="AT499" s="350">
        <v>97.58</v>
      </c>
    </row>
    <row r="500" spans="38:46">
      <c r="AL500" s="346">
        <v>25</v>
      </c>
      <c r="AM500" s="342" t="s">
        <v>19</v>
      </c>
      <c r="AN500" s="346">
        <v>25320</v>
      </c>
      <c r="AO500" s="342" t="s">
        <v>812</v>
      </c>
      <c r="AP500" t="s">
        <v>1568</v>
      </c>
      <c r="AQ500">
        <v>25320</v>
      </c>
      <c r="AR500" s="350">
        <v>96.81</v>
      </c>
      <c r="AS500" s="350">
        <v>99.44</v>
      </c>
      <c r="AT500" s="350">
        <v>94.18</v>
      </c>
    </row>
    <row r="501" spans="38:46">
      <c r="AL501" s="345">
        <v>25</v>
      </c>
      <c r="AM501" s="341" t="s">
        <v>19</v>
      </c>
      <c r="AN501" s="345">
        <v>25322</v>
      </c>
      <c r="AO501" s="341" t="s">
        <v>822</v>
      </c>
      <c r="AP501" t="s">
        <v>1569</v>
      </c>
      <c r="AQ501">
        <v>25322</v>
      </c>
      <c r="AR501" s="350">
        <v>99.22</v>
      </c>
      <c r="AS501" s="350">
        <v>99.95</v>
      </c>
      <c r="AT501" s="350">
        <v>98.73</v>
      </c>
    </row>
    <row r="502" spans="38:46">
      <c r="AL502" s="346">
        <v>25</v>
      </c>
      <c r="AM502" s="342" t="s">
        <v>19</v>
      </c>
      <c r="AN502" s="346">
        <v>25324</v>
      </c>
      <c r="AO502" s="342" t="s">
        <v>832</v>
      </c>
      <c r="AP502" t="s">
        <v>1570</v>
      </c>
      <c r="AQ502">
        <v>25324</v>
      </c>
      <c r="AR502" s="350">
        <v>96.98</v>
      </c>
      <c r="AS502" s="350">
        <v>97.04</v>
      </c>
      <c r="AT502" s="350">
        <v>96.91</v>
      </c>
    </row>
    <row r="503" spans="38:46">
      <c r="AL503" s="345">
        <v>25</v>
      </c>
      <c r="AM503" s="341" t="s">
        <v>19</v>
      </c>
      <c r="AN503" s="345">
        <v>25326</v>
      </c>
      <c r="AO503" s="341" t="s">
        <v>840</v>
      </c>
      <c r="AP503" t="s">
        <v>1571</v>
      </c>
      <c r="AQ503">
        <v>25326</v>
      </c>
      <c r="AR503" s="350">
        <v>97.3</v>
      </c>
      <c r="AS503" s="350">
        <v>99.73</v>
      </c>
      <c r="AT503" s="350">
        <v>95.87</v>
      </c>
    </row>
    <row r="504" spans="38:46">
      <c r="AL504" s="346">
        <v>25</v>
      </c>
      <c r="AM504" s="342" t="s">
        <v>19</v>
      </c>
      <c r="AN504" s="346">
        <v>25328</v>
      </c>
      <c r="AO504" s="342" t="s">
        <v>847</v>
      </c>
      <c r="AP504" t="s">
        <v>1572</v>
      </c>
      <c r="AQ504">
        <v>25328</v>
      </c>
      <c r="AR504" s="350">
        <v>92.99</v>
      </c>
      <c r="AS504" s="350">
        <v>98.94</v>
      </c>
      <c r="AT504" s="350">
        <v>90.6</v>
      </c>
    </row>
    <row r="505" spans="38:46">
      <c r="AL505" s="345">
        <v>25</v>
      </c>
      <c r="AM505" s="341" t="s">
        <v>19</v>
      </c>
      <c r="AN505" s="345">
        <v>25335</v>
      </c>
      <c r="AO505" s="341" t="s">
        <v>854</v>
      </c>
      <c r="AP505" t="s">
        <v>1573</v>
      </c>
      <c r="AQ505">
        <v>25335</v>
      </c>
      <c r="AR505" s="350">
        <v>96.71</v>
      </c>
      <c r="AS505" s="350">
        <v>99.3</v>
      </c>
      <c r="AT505" s="350">
        <v>95.57</v>
      </c>
    </row>
    <row r="506" spans="38:46">
      <c r="AL506" s="346">
        <v>25</v>
      </c>
      <c r="AM506" s="342" t="s">
        <v>19</v>
      </c>
      <c r="AN506" s="346">
        <v>25339</v>
      </c>
      <c r="AO506" s="342" t="s">
        <v>862</v>
      </c>
      <c r="AP506" t="s">
        <v>1574</v>
      </c>
      <c r="AQ506">
        <v>25339</v>
      </c>
      <c r="AR506" s="350">
        <v>93.77</v>
      </c>
      <c r="AS506" s="350">
        <v>96.72</v>
      </c>
      <c r="AT506" s="350">
        <v>92.57</v>
      </c>
    </row>
    <row r="507" spans="38:46">
      <c r="AL507" s="345">
        <v>25</v>
      </c>
      <c r="AM507" s="341" t="s">
        <v>19</v>
      </c>
      <c r="AN507" s="345">
        <v>25368</v>
      </c>
      <c r="AO507" s="341" t="s">
        <v>867</v>
      </c>
      <c r="AP507" t="s">
        <v>1575</v>
      </c>
      <c r="AQ507">
        <v>25368</v>
      </c>
      <c r="AR507" s="350">
        <v>94.53</v>
      </c>
      <c r="AS507" s="350">
        <v>99.58</v>
      </c>
      <c r="AT507" s="350">
        <v>92.34</v>
      </c>
    </row>
    <row r="508" spans="38:46">
      <c r="AL508" s="346">
        <v>25</v>
      </c>
      <c r="AM508" s="342" t="s">
        <v>19</v>
      </c>
      <c r="AN508" s="346">
        <v>25372</v>
      </c>
      <c r="AO508" s="342" t="s">
        <v>873</v>
      </c>
      <c r="AP508" t="s">
        <v>1576</v>
      </c>
      <c r="AQ508">
        <v>25372</v>
      </c>
      <c r="AR508" s="350">
        <v>98.23</v>
      </c>
      <c r="AS508" s="350">
        <v>99.22</v>
      </c>
      <c r="AT508" s="350">
        <v>98.07</v>
      </c>
    </row>
    <row r="509" spans="38:46">
      <c r="AL509" s="345">
        <v>25</v>
      </c>
      <c r="AM509" s="341" t="s">
        <v>19</v>
      </c>
      <c r="AN509" s="345">
        <v>25377</v>
      </c>
      <c r="AO509" s="341" t="s">
        <v>879</v>
      </c>
      <c r="AP509" t="s">
        <v>1577</v>
      </c>
      <c r="AQ509">
        <v>25377</v>
      </c>
      <c r="AR509" s="350">
        <v>99.39</v>
      </c>
      <c r="AS509" s="350">
        <v>99.74</v>
      </c>
      <c r="AT509" s="350">
        <v>99.09</v>
      </c>
    </row>
    <row r="510" spans="38:46">
      <c r="AL510" s="346">
        <v>25</v>
      </c>
      <c r="AM510" s="342" t="s">
        <v>19</v>
      </c>
      <c r="AN510" s="346">
        <v>25386</v>
      </c>
      <c r="AO510" s="342" t="s">
        <v>885</v>
      </c>
      <c r="AP510" t="s">
        <v>1578</v>
      </c>
      <c r="AQ510">
        <v>25386</v>
      </c>
      <c r="AR510" s="350">
        <v>98</v>
      </c>
      <c r="AS510" s="350">
        <v>99.72</v>
      </c>
      <c r="AT510" s="350">
        <v>95.93</v>
      </c>
    </row>
    <row r="511" spans="38:46">
      <c r="AL511" s="345">
        <v>25</v>
      </c>
      <c r="AM511" s="341" t="s">
        <v>19</v>
      </c>
      <c r="AN511" s="345">
        <v>25394</v>
      </c>
      <c r="AO511" s="341" t="s">
        <v>891</v>
      </c>
      <c r="AP511" t="s">
        <v>1579</v>
      </c>
      <c r="AQ511">
        <v>25394</v>
      </c>
      <c r="AR511" s="350">
        <v>96.52</v>
      </c>
      <c r="AS511" s="350">
        <v>98.19</v>
      </c>
      <c r="AT511" s="350">
        <v>95.21</v>
      </c>
    </row>
    <row r="512" spans="38:46">
      <c r="AL512" s="346">
        <v>25</v>
      </c>
      <c r="AM512" s="342" t="s">
        <v>19</v>
      </c>
      <c r="AN512" s="346">
        <v>25398</v>
      </c>
      <c r="AO512" s="342" t="s">
        <v>895</v>
      </c>
      <c r="AP512" t="s">
        <v>1580</v>
      </c>
      <c r="AQ512">
        <v>25398</v>
      </c>
      <c r="AR512" s="350">
        <v>83.05</v>
      </c>
      <c r="AS512" s="350">
        <v>95.22</v>
      </c>
      <c r="AT512" s="350">
        <v>80.64</v>
      </c>
    </row>
    <row r="513" spans="38:46">
      <c r="AL513" s="345">
        <v>25</v>
      </c>
      <c r="AM513" s="341" t="s">
        <v>19</v>
      </c>
      <c r="AN513" s="345">
        <v>25402</v>
      </c>
      <c r="AO513" s="341" t="s">
        <v>472</v>
      </c>
      <c r="AP513" t="s">
        <v>1581</v>
      </c>
      <c r="AQ513">
        <v>25402</v>
      </c>
      <c r="AR513" s="350">
        <v>97.71</v>
      </c>
      <c r="AS513" s="350">
        <v>99.56</v>
      </c>
      <c r="AT513" s="350">
        <v>96.35</v>
      </c>
    </row>
    <row r="514" spans="38:46">
      <c r="AL514" s="346">
        <v>25</v>
      </c>
      <c r="AM514" s="342" t="s">
        <v>19</v>
      </c>
      <c r="AN514" s="346">
        <v>25407</v>
      </c>
      <c r="AO514" s="342" t="s">
        <v>905</v>
      </c>
      <c r="AP514" t="s">
        <v>1582</v>
      </c>
      <c r="AQ514">
        <v>25407</v>
      </c>
      <c r="AR514" s="350">
        <v>95.76</v>
      </c>
      <c r="AS514" s="350">
        <v>99.45</v>
      </c>
      <c r="AT514" s="350">
        <v>93.99</v>
      </c>
    </row>
    <row r="515" spans="38:46">
      <c r="AL515" s="345">
        <v>25</v>
      </c>
      <c r="AM515" s="341" t="s">
        <v>19</v>
      </c>
      <c r="AN515" s="345">
        <v>25426</v>
      </c>
      <c r="AO515" s="341" t="s">
        <v>911</v>
      </c>
      <c r="AP515" t="s">
        <v>1583</v>
      </c>
      <c r="AQ515">
        <v>25426</v>
      </c>
      <c r="AR515" s="350">
        <v>93.7</v>
      </c>
      <c r="AS515" s="350">
        <v>98.44</v>
      </c>
      <c r="AT515" s="350">
        <v>92.03</v>
      </c>
    </row>
    <row r="516" spans="38:46">
      <c r="AL516" s="346">
        <v>25</v>
      </c>
      <c r="AM516" s="342" t="s">
        <v>19</v>
      </c>
      <c r="AN516" s="346">
        <v>25430</v>
      </c>
      <c r="AO516" s="342" t="s">
        <v>916</v>
      </c>
      <c r="AP516" t="s">
        <v>1584</v>
      </c>
      <c r="AQ516">
        <v>25430</v>
      </c>
      <c r="AR516" s="350">
        <v>99.82</v>
      </c>
      <c r="AS516" s="350">
        <v>99.86</v>
      </c>
      <c r="AT516" s="350">
        <v>99.41</v>
      </c>
    </row>
    <row r="517" spans="38:46">
      <c r="AL517" s="345">
        <v>25</v>
      </c>
      <c r="AM517" s="341" t="s">
        <v>19</v>
      </c>
      <c r="AN517" s="345">
        <v>25436</v>
      </c>
      <c r="AO517" s="341" t="s">
        <v>922</v>
      </c>
      <c r="AP517" t="s">
        <v>1585</v>
      </c>
      <c r="AQ517">
        <v>25436</v>
      </c>
      <c r="AR517" s="350">
        <v>94.04</v>
      </c>
      <c r="AS517" s="350">
        <v>100</v>
      </c>
      <c r="AT517" s="350">
        <v>92.15</v>
      </c>
    </row>
    <row r="518" spans="38:46">
      <c r="AL518" s="346">
        <v>25</v>
      </c>
      <c r="AM518" s="342" t="s">
        <v>19</v>
      </c>
      <c r="AN518" s="346">
        <v>25438</v>
      </c>
      <c r="AO518" s="342" t="s">
        <v>928</v>
      </c>
      <c r="AP518" t="s">
        <v>1586</v>
      </c>
      <c r="AQ518">
        <v>25438</v>
      </c>
      <c r="AR518" s="350">
        <v>87.16</v>
      </c>
      <c r="AS518" s="350">
        <v>98.89</v>
      </c>
      <c r="AT518" s="350">
        <v>75.69</v>
      </c>
    </row>
    <row r="519" spans="38:46">
      <c r="AL519" s="345">
        <v>25</v>
      </c>
      <c r="AM519" s="341" t="s">
        <v>19</v>
      </c>
      <c r="AN519" s="345">
        <v>25473</v>
      </c>
      <c r="AO519" s="341" t="s">
        <v>802</v>
      </c>
      <c r="AP519" t="s">
        <v>1587</v>
      </c>
      <c r="AQ519">
        <v>25473</v>
      </c>
      <c r="AR519" s="350">
        <v>99.91</v>
      </c>
      <c r="AS519" s="350">
        <v>99.92</v>
      </c>
      <c r="AT519" s="350">
        <v>99.7</v>
      </c>
    </row>
    <row r="520" spans="38:46">
      <c r="AL520" s="346">
        <v>25</v>
      </c>
      <c r="AM520" s="342" t="s">
        <v>19</v>
      </c>
      <c r="AN520" s="346">
        <v>25483</v>
      </c>
      <c r="AO520" s="342" t="s">
        <v>26</v>
      </c>
      <c r="AP520" t="s">
        <v>1588</v>
      </c>
      <c r="AQ520">
        <v>25483</v>
      </c>
      <c r="AR520" s="350">
        <v>96.99</v>
      </c>
      <c r="AS520" s="350">
        <v>98.26</v>
      </c>
      <c r="AT520" s="350">
        <v>94.35</v>
      </c>
    </row>
    <row r="521" spans="38:46">
      <c r="AL521" s="345">
        <v>25</v>
      </c>
      <c r="AM521" s="341" t="s">
        <v>19</v>
      </c>
      <c r="AN521" s="345">
        <v>25486</v>
      </c>
      <c r="AO521" s="341" t="s">
        <v>943</v>
      </c>
      <c r="AP521" t="s">
        <v>1589</v>
      </c>
      <c r="AQ521">
        <v>25486</v>
      </c>
      <c r="AR521" s="350">
        <v>98.99</v>
      </c>
      <c r="AS521" s="350">
        <v>100</v>
      </c>
      <c r="AT521" s="350">
        <v>97.89</v>
      </c>
    </row>
    <row r="522" spans="38:46">
      <c r="AL522" s="346">
        <v>25</v>
      </c>
      <c r="AM522" s="342" t="s">
        <v>19</v>
      </c>
      <c r="AN522" s="346">
        <v>25488</v>
      </c>
      <c r="AO522" s="342" t="s">
        <v>949</v>
      </c>
      <c r="AP522" t="s">
        <v>1590</v>
      </c>
      <c r="AQ522">
        <v>25488</v>
      </c>
      <c r="AR522" s="350">
        <v>99.05</v>
      </c>
      <c r="AS522" s="350">
        <v>99.62</v>
      </c>
      <c r="AT522" s="350">
        <v>98.72</v>
      </c>
    </row>
    <row r="523" spans="38:46">
      <c r="AL523" s="345">
        <v>25</v>
      </c>
      <c r="AM523" s="341" t="s">
        <v>19</v>
      </c>
      <c r="AN523" s="345">
        <v>25489</v>
      </c>
      <c r="AO523" s="341" t="s">
        <v>954</v>
      </c>
      <c r="AP523" t="s">
        <v>1591</v>
      </c>
      <c r="AQ523">
        <v>25489</v>
      </c>
      <c r="AR523" s="350">
        <v>90.99</v>
      </c>
      <c r="AS523" s="350">
        <v>99.19</v>
      </c>
      <c r="AT523" s="350">
        <v>88.85</v>
      </c>
    </row>
    <row r="524" spans="38:46">
      <c r="AL524" s="346">
        <v>25</v>
      </c>
      <c r="AM524" s="342" t="s">
        <v>19</v>
      </c>
      <c r="AN524" s="346">
        <v>25491</v>
      </c>
      <c r="AO524" s="342" t="s">
        <v>960</v>
      </c>
      <c r="AP524" t="s">
        <v>1592</v>
      </c>
      <c r="AQ524">
        <v>25491</v>
      </c>
      <c r="AR524" s="350">
        <v>94.45</v>
      </c>
      <c r="AS524" s="350">
        <v>99.25</v>
      </c>
      <c r="AT524" s="350">
        <v>91.89</v>
      </c>
    </row>
    <row r="525" spans="38:46">
      <c r="AL525" s="345">
        <v>25</v>
      </c>
      <c r="AM525" s="341" t="s">
        <v>19</v>
      </c>
      <c r="AN525" s="345">
        <v>25506</v>
      </c>
      <c r="AO525" s="341" t="s">
        <v>1133</v>
      </c>
      <c r="AP525" t="s">
        <v>1593</v>
      </c>
      <c r="AQ525">
        <v>25506</v>
      </c>
      <c r="AR525" s="350">
        <v>90.51</v>
      </c>
      <c r="AS525" s="350">
        <v>98.56</v>
      </c>
      <c r="AT525" s="350">
        <v>87.33</v>
      </c>
    </row>
    <row r="526" spans="38:46">
      <c r="AL526" s="346">
        <v>25</v>
      </c>
      <c r="AM526" s="342" t="s">
        <v>19</v>
      </c>
      <c r="AN526" s="346">
        <v>25513</v>
      </c>
      <c r="AO526" s="342" t="s">
        <v>965</v>
      </c>
      <c r="AP526" t="s">
        <v>1594</v>
      </c>
      <c r="AQ526">
        <v>25513</v>
      </c>
      <c r="AR526" s="350">
        <v>96.46</v>
      </c>
      <c r="AS526" s="350">
        <v>99.19</v>
      </c>
      <c r="AT526" s="350">
        <v>93.51</v>
      </c>
    </row>
    <row r="527" spans="38:46">
      <c r="AL527" s="345">
        <v>25</v>
      </c>
      <c r="AM527" s="341" t="s">
        <v>19</v>
      </c>
      <c r="AN527" s="345">
        <v>25518</v>
      </c>
      <c r="AO527" s="341" t="s">
        <v>970</v>
      </c>
      <c r="AP527" t="s">
        <v>1595</v>
      </c>
      <c r="AQ527">
        <v>25518</v>
      </c>
      <c r="AR527" s="350">
        <v>78.260000000000005</v>
      </c>
      <c r="AS527" s="350">
        <v>94.16</v>
      </c>
      <c r="AT527" s="350">
        <v>76.17</v>
      </c>
    </row>
    <row r="528" spans="38:46">
      <c r="AL528" s="346">
        <v>25</v>
      </c>
      <c r="AM528" s="342" t="s">
        <v>19</v>
      </c>
      <c r="AN528" s="346">
        <v>25524</v>
      </c>
      <c r="AO528" s="342" t="s">
        <v>975</v>
      </c>
      <c r="AP528" t="s">
        <v>1596</v>
      </c>
      <c r="AQ528">
        <v>25524</v>
      </c>
      <c r="AR528" s="350">
        <v>95.36</v>
      </c>
      <c r="AS528" s="350">
        <v>99.01</v>
      </c>
      <c r="AT528" s="350">
        <v>94.18</v>
      </c>
    </row>
    <row r="529" spans="38:46">
      <c r="AL529" s="345">
        <v>25</v>
      </c>
      <c r="AM529" s="341" t="s">
        <v>19</v>
      </c>
      <c r="AN529" s="345">
        <v>25530</v>
      </c>
      <c r="AO529" s="341" t="s">
        <v>980</v>
      </c>
      <c r="AP529" t="s">
        <v>1597</v>
      </c>
      <c r="AQ529">
        <v>25530</v>
      </c>
      <c r="AR529" s="350">
        <v>90.28</v>
      </c>
      <c r="AS529" s="350">
        <v>96.1</v>
      </c>
      <c r="AT529" s="350">
        <v>86.17</v>
      </c>
    </row>
    <row r="530" spans="38:46">
      <c r="AL530" s="346">
        <v>25</v>
      </c>
      <c r="AM530" s="342" t="s">
        <v>19</v>
      </c>
      <c r="AN530" s="346">
        <v>25535</v>
      </c>
      <c r="AO530" s="342" t="s">
        <v>983</v>
      </c>
      <c r="AP530" t="s">
        <v>1598</v>
      </c>
      <c r="AQ530">
        <v>25535</v>
      </c>
      <c r="AR530" s="350">
        <v>97.26</v>
      </c>
      <c r="AS530" s="350">
        <v>99</v>
      </c>
      <c r="AT530" s="350">
        <v>96.51</v>
      </c>
    </row>
    <row r="531" spans="38:46">
      <c r="AL531" s="345">
        <v>25</v>
      </c>
      <c r="AM531" s="341" t="s">
        <v>19</v>
      </c>
      <c r="AN531" s="345">
        <v>25572</v>
      </c>
      <c r="AO531" s="341" t="s">
        <v>988</v>
      </c>
      <c r="AP531" t="s">
        <v>1599</v>
      </c>
      <c r="AQ531">
        <v>25572</v>
      </c>
      <c r="AR531" s="350">
        <v>95.84</v>
      </c>
      <c r="AS531" s="350">
        <v>99.36</v>
      </c>
      <c r="AT531" s="350">
        <v>85.7</v>
      </c>
    </row>
    <row r="532" spans="38:46">
      <c r="AL532" s="346">
        <v>25</v>
      </c>
      <c r="AM532" s="342" t="s">
        <v>19</v>
      </c>
      <c r="AN532" s="346">
        <v>25580</v>
      </c>
      <c r="AO532" s="342" t="s">
        <v>993</v>
      </c>
      <c r="AP532" t="s">
        <v>1600</v>
      </c>
      <c r="AQ532">
        <v>25580</v>
      </c>
      <c r="AR532" s="350">
        <v>92.3</v>
      </c>
      <c r="AS532" s="350">
        <v>97.95</v>
      </c>
      <c r="AT532" s="350">
        <v>90.81</v>
      </c>
    </row>
    <row r="533" spans="38:46">
      <c r="AL533" s="345">
        <v>25</v>
      </c>
      <c r="AM533" s="341" t="s">
        <v>19</v>
      </c>
      <c r="AN533" s="345">
        <v>25592</v>
      </c>
      <c r="AO533" s="341" t="s">
        <v>998</v>
      </c>
      <c r="AP533" t="s">
        <v>1601</v>
      </c>
      <c r="AQ533">
        <v>25592</v>
      </c>
      <c r="AR533" s="350">
        <v>92.8</v>
      </c>
      <c r="AS533" s="350">
        <v>99.28</v>
      </c>
      <c r="AT533" s="350">
        <v>92.19</v>
      </c>
    </row>
    <row r="534" spans="38:46">
      <c r="AL534" s="346">
        <v>25</v>
      </c>
      <c r="AM534" s="342" t="s">
        <v>19</v>
      </c>
      <c r="AN534" s="346">
        <v>25594</v>
      </c>
      <c r="AO534" s="342" t="s">
        <v>1002</v>
      </c>
      <c r="AP534" t="s">
        <v>1602</v>
      </c>
      <c r="AQ534">
        <v>25594</v>
      </c>
      <c r="AR534" s="350">
        <v>95.16</v>
      </c>
      <c r="AS534" s="350">
        <v>97.47</v>
      </c>
      <c r="AT534" s="350">
        <v>94.33</v>
      </c>
    </row>
    <row r="535" spans="38:46">
      <c r="AL535" s="345">
        <v>25</v>
      </c>
      <c r="AM535" s="341" t="s">
        <v>19</v>
      </c>
      <c r="AN535" s="345">
        <v>25596</v>
      </c>
      <c r="AO535" s="341" t="s">
        <v>1006</v>
      </c>
      <c r="AP535" t="s">
        <v>1603</v>
      </c>
      <c r="AQ535">
        <v>25596</v>
      </c>
      <c r="AR535" s="350">
        <v>88.82</v>
      </c>
      <c r="AS535" s="350">
        <v>97.74</v>
      </c>
      <c r="AT535" s="350">
        <v>87.89</v>
      </c>
    </row>
    <row r="536" spans="38:46">
      <c r="AL536" s="346">
        <v>25</v>
      </c>
      <c r="AM536" s="342" t="s">
        <v>19</v>
      </c>
      <c r="AN536" s="346">
        <v>25599</v>
      </c>
      <c r="AO536" s="342" t="s">
        <v>180</v>
      </c>
      <c r="AP536" t="s">
        <v>1604</v>
      </c>
      <c r="AQ536">
        <v>25599</v>
      </c>
      <c r="AR536" s="350">
        <v>93.86</v>
      </c>
      <c r="AS536" s="350">
        <v>99.03</v>
      </c>
      <c r="AT536" s="350">
        <v>89.52</v>
      </c>
    </row>
    <row r="537" spans="38:46">
      <c r="AL537" s="345">
        <v>25</v>
      </c>
      <c r="AM537" s="341" t="s">
        <v>19</v>
      </c>
      <c r="AN537" s="345">
        <v>25612</v>
      </c>
      <c r="AO537" s="341" t="s">
        <v>880</v>
      </c>
      <c r="AP537" t="s">
        <v>1605</v>
      </c>
      <c r="AQ537">
        <v>25612</v>
      </c>
      <c r="AR537" s="350">
        <v>98.54</v>
      </c>
      <c r="AS537" s="350">
        <v>99.43</v>
      </c>
      <c r="AT537" s="350">
        <v>97.55</v>
      </c>
    </row>
    <row r="538" spans="38:46">
      <c r="AL538" s="346">
        <v>25</v>
      </c>
      <c r="AM538" s="342" t="s">
        <v>19</v>
      </c>
      <c r="AN538" s="346">
        <v>25645</v>
      </c>
      <c r="AO538" s="342" t="s">
        <v>1014</v>
      </c>
      <c r="AP538" t="s">
        <v>1606</v>
      </c>
      <c r="AQ538">
        <v>25645</v>
      </c>
      <c r="AR538" s="350">
        <v>98.31</v>
      </c>
      <c r="AS538" s="350">
        <v>100</v>
      </c>
      <c r="AT538" s="350">
        <v>98.16</v>
      </c>
    </row>
    <row r="539" spans="38:46">
      <c r="AL539" s="345">
        <v>25</v>
      </c>
      <c r="AM539" s="341" t="s">
        <v>19</v>
      </c>
      <c r="AN539" s="345">
        <v>25649</v>
      </c>
      <c r="AO539" s="341" t="s">
        <v>900</v>
      </c>
      <c r="AP539" t="s">
        <v>1607</v>
      </c>
      <c r="AQ539">
        <v>25649</v>
      </c>
      <c r="AR539" s="350">
        <v>95.58</v>
      </c>
      <c r="AS539" s="350">
        <v>98.52</v>
      </c>
      <c r="AT539" s="350">
        <v>93.26</v>
      </c>
    </row>
    <row r="540" spans="38:46">
      <c r="AL540" s="346">
        <v>25</v>
      </c>
      <c r="AM540" s="342" t="s">
        <v>19</v>
      </c>
      <c r="AN540" s="346">
        <v>25653</v>
      </c>
      <c r="AO540" s="342" t="s">
        <v>718</v>
      </c>
      <c r="AP540" t="s">
        <v>1608</v>
      </c>
      <c r="AQ540">
        <v>25653</v>
      </c>
      <c r="AR540" s="350">
        <v>95.94</v>
      </c>
      <c r="AS540" s="350">
        <v>100</v>
      </c>
      <c r="AT540" s="350">
        <v>95.3</v>
      </c>
    </row>
    <row r="541" spans="38:46">
      <c r="AL541" s="345">
        <v>25</v>
      </c>
      <c r="AM541" s="341" t="s">
        <v>19</v>
      </c>
      <c r="AN541" s="345">
        <v>25658</v>
      </c>
      <c r="AO541" s="341" t="s">
        <v>271</v>
      </c>
      <c r="AP541" t="s">
        <v>1609</v>
      </c>
      <c r="AQ541">
        <v>25658</v>
      </c>
      <c r="AR541" s="350">
        <v>97.97</v>
      </c>
      <c r="AS541" s="350">
        <v>99.6</v>
      </c>
      <c r="AT541" s="350">
        <v>96.76</v>
      </c>
    </row>
    <row r="542" spans="38:46">
      <c r="AL542" s="346">
        <v>25</v>
      </c>
      <c r="AM542" s="342" t="s">
        <v>19</v>
      </c>
      <c r="AN542" s="346">
        <v>25662</v>
      </c>
      <c r="AO542" s="342" t="s">
        <v>1031</v>
      </c>
      <c r="AP542" t="s">
        <v>1610</v>
      </c>
      <c r="AQ542">
        <v>25662</v>
      </c>
      <c r="AR542" s="350">
        <v>97.32</v>
      </c>
      <c r="AS542" s="350">
        <v>99.22</v>
      </c>
      <c r="AT542" s="350">
        <v>96.2</v>
      </c>
    </row>
    <row r="543" spans="38:46">
      <c r="AL543" s="345">
        <v>25</v>
      </c>
      <c r="AM543" s="341" t="s">
        <v>19</v>
      </c>
      <c r="AN543" s="345">
        <v>25718</v>
      </c>
      <c r="AO543" s="341" t="s">
        <v>1035</v>
      </c>
      <c r="AP543" t="s">
        <v>1611</v>
      </c>
      <c r="AQ543">
        <v>25718</v>
      </c>
      <c r="AR543" s="350">
        <v>97.81</v>
      </c>
      <c r="AS543" s="350">
        <v>100</v>
      </c>
      <c r="AT543" s="350">
        <v>97.08</v>
      </c>
    </row>
    <row r="544" spans="38:46">
      <c r="AL544" s="346">
        <v>25</v>
      </c>
      <c r="AM544" s="342" t="s">
        <v>19</v>
      </c>
      <c r="AN544" s="346">
        <v>25736</v>
      </c>
      <c r="AO544" s="342" t="s">
        <v>1040</v>
      </c>
      <c r="AP544" t="s">
        <v>1612</v>
      </c>
      <c r="AQ544">
        <v>25736</v>
      </c>
      <c r="AR544" s="350">
        <v>98.24</v>
      </c>
      <c r="AS544" s="350">
        <v>99.81</v>
      </c>
      <c r="AT544" s="350">
        <v>97.52</v>
      </c>
    </row>
    <row r="545" spans="38:46">
      <c r="AL545" s="345">
        <v>25</v>
      </c>
      <c r="AM545" s="341" t="s">
        <v>19</v>
      </c>
      <c r="AN545" s="345">
        <v>25740</v>
      </c>
      <c r="AO545" s="341" t="s">
        <v>1045</v>
      </c>
      <c r="AP545" t="s">
        <v>1613</v>
      </c>
      <c r="AQ545">
        <v>25740</v>
      </c>
      <c r="AR545" s="350">
        <v>99.52</v>
      </c>
      <c r="AS545" s="350">
        <v>99.78</v>
      </c>
      <c r="AT545" s="350">
        <v>98.86</v>
      </c>
    </row>
    <row r="546" spans="38:46">
      <c r="AL546" s="346">
        <v>25</v>
      </c>
      <c r="AM546" s="342" t="s">
        <v>19</v>
      </c>
      <c r="AN546" s="346">
        <v>25743</v>
      </c>
      <c r="AO546" s="342" t="s">
        <v>1050</v>
      </c>
      <c r="AP546" t="s">
        <v>1614</v>
      </c>
      <c r="AQ546">
        <v>25743</v>
      </c>
      <c r="AR546" s="350">
        <v>97.73</v>
      </c>
      <c r="AS546" s="350">
        <v>99.54</v>
      </c>
      <c r="AT546" s="350">
        <v>96.8</v>
      </c>
    </row>
    <row r="547" spans="38:46">
      <c r="AL547" s="345">
        <v>25</v>
      </c>
      <c r="AM547" s="341" t="s">
        <v>19</v>
      </c>
      <c r="AN547" s="345">
        <v>25745</v>
      </c>
      <c r="AO547" s="341" t="s">
        <v>1054</v>
      </c>
      <c r="AP547" t="s">
        <v>1615</v>
      </c>
      <c r="AQ547">
        <v>25745</v>
      </c>
      <c r="AR547" s="350">
        <v>98.97</v>
      </c>
      <c r="AS547" s="350">
        <v>99.34</v>
      </c>
      <c r="AT547" s="350">
        <v>98.42</v>
      </c>
    </row>
    <row r="548" spans="38:46">
      <c r="AL548" s="346">
        <v>25</v>
      </c>
      <c r="AM548" s="342" t="s">
        <v>19</v>
      </c>
      <c r="AN548" s="346">
        <v>25754</v>
      </c>
      <c r="AO548" s="342" t="s">
        <v>1057</v>
      </c>
      <c r="AP548" t="s">
        <v>1616</v>
      </c>
      <c r="AQ548">
        <v>25754</v>
      </c>
      <c r="AR548" s="350">
        <v>99.16</v>
      </c>
      <c r="AS548" s="350">
        <v>99.21</v>
      </c>
      <c r="AT548" s="350">
        <v>93.43</v>
      </c>
    </row>
    <row r="549" spans="38:46">
      <c r="AL549" s="345">
        <v>25</v>
      </c>
      <c r="AM549" s="341" t="s">
        <v>19</v>
      </c>
      <c r="AN549" s="345">
        <v>25758</v>
      </c>
      <c r="AO549" s="341" t="s">
        <v>1061</v>
      </c>
      <c r="AP549" t="s">
        <v>1617</v>
      </c>
      <c r="AQ549">
        <v>25758</v>
      </c>
      <c r="AR549" s="350">
        <v>99.72</v>
      </c>
      <c r="AS549" s="350">
        <v>99.81</v>
      </c>
      <c r="AT549" s="350">
        <v>99.52</v>
      </c>
    </row>
    <row r="550" spans="38:46">
      <c r="AL550" s="346">
        <v>25</v>
      </c>
      <c r="AM550" s="342" t="s">
        <v>19</v>
      </c>
      <c r="AN550" s="346">
        <v>25769</v>
      </c>
      <c r="AO550" s="342" t="s">
        <v>1066</v>
      </c>
      <c r="AP550" t="s">
        <v>1618</v>
      </c>
      <c r="AQ550">
        <v>25769</v>
      </c>
      <c r="AR550" s="350">
        <v>99.4</v>
      </c>
      <c r="AS550" s="350">
        <v>99.83</v>
      </c>
      <c r="AT550" s="350">
        <v>98.98</v>
      </c>
    </row>
    <row r="551" spans="38:46">
      <c r="AL551" s="345">
        <v>25</v>
      </c>
      <c r="AM551" s="341" t="s">
        <v>19</v>
      </c>
      <c r="AN551" s="345">
        <v>25772</v>
      </c>
      <c r="AO551" s="341" t="s">
        <v>1070</v>
      </c>
      <c r="AP551" t="s">
        <v>1619</v>
      </c>
      <c r="AQ551">
        <v>25772</v>
      </c>
      <c r="AR551" s="350">
        <v>99.33</v>
      </c>
      <c r="AS551" s="350">
        <v>99.72</v>
      </c>
      <c r="AT551" s="350">
        <v>99.01</v>
      </c>
    </row>
    <row r="552" spans="38:46">
      <c r="AL552" s="346">
        <v>25</v>
      </c>
      <c r="AM552" s="342" t="s">
        <v>19</v>
      </c>
      <c r="AN552" s="346">
        <v>25777</v>
      </c>
      <c r="AO552" s="342" t="s">
        <v>1073</v>
      </c>
      <c r="AP552" t="s">
        <v>1620</v>
      </c>
      <c r="AQ552">
        <v>25777</v>
      </c>
      <c r="AR552" s="350">
        <v>96.24</v>
      </c>
      <c r="AS552" s="350">
        <v>99.18</v>
      </c>
      <c r="AT552" s="350">
        <v>94.74</v>
      </c>
    </row>
    <row r="553" spans="38:46">
      <c r="AL553" s="345">
        <v>25</v>
      </c>
      <c r="AM553" s="341" t="s">
        <v>19</v>
      </c>
      <c r="AN553" s="345">
        <v>25779</v>
      </c>
      <c r="AO553" s="341" t="s">
        <v>1076</v>
      </c>
      <c r="AP553" t="s">
        <v>1621</v>
      </c>
      <c r="AQ553">
        <v>25779</v>
      </c>
      <c r="AR553" s="350">
        <v>97.98</v>
      </c>
      <c r="AS553" s="350">
        <v>98.68</v>
      </c>
      <c r="AT553" s="350">
        <v>97.63</v>
      </c>
    </row>
    <row r="554" spans="38:46">
      <c r="AL554" s="346">
        <v>25</v>
      </c>
      <c r="AM554" s="342" t="s">
        <v>19</v>
      </c>
      <c r="AN554" s="346">
        <v>25781</v>
      </c>
      <c r="AO554" s="342" t="s">
        <v>1080</v>
      </c>
      <c r="AP554" t="s">
        <v>1622</v>
      </c>
      <c r="AQ554">
        <v>25781</v>
      </c>
      <c r="AR554" s="350">
        <v>96.03</v>
      </c>
      <c r="AS554" s="350">
        <v>99.83</v>
      </c>
      <c r="AT554" s="350">
        <v>93.93</v>
      </c>
    </row>
    <row r="555" spans="38:46">
      <c r="AL555" s="345">
        <v>25</v>
      </c>
      <c r="AM555" s="341" t="s">
        <v>19</v>
      </c>
      <c r="AN555" s="345">
        <v>25785</v>
      </c>
      <c r="AO555" s="341" t="s">
        <v>1084</v>
      </c>
      <c r="AP555" t="s">
        <v>1623</v>
      </c>
      <c r="AQ555">
        <v>25785</v>
      </c>
      <c r="AR555" s="350">
        <v>99.56</v>
      </c>
      <c r="AS555" s="350">
        <v>99.95</v>
      </c>
      <c r="AT555" s="350">
        <v>99.38</v>
      </c>
    </row>
    <row r="556" spans="38:46">
      <c r="AL556" s="346">
        <v>25</v>
      </c>
      <c r="AM556" s="342" t="s">
        <v>19</v>
      </c>
      <c r="AN556" s="346">
        <v>25793</v>
      </c>
      <c r="AO556" s="342" t="s">
        <v>1088</v>
      </c>
      <c r="AP556" t="s">
        <v>1624</v>
      </c>
      <c r="AQ556">
        <v>25793</v>
      </c>
      <c r="AR556" s="350">
        <v>98.25</v>
      </c>
      <c r="AS556" s="350">
        <v>99.16</v>
      </c>
      <c r="AT556" s="350">
        <v>98.06</v>
      </c>
    </row>
    <row r="557" spans="38:46">
      <c r="AL557" s="345">
        <v>25</v>
      </c>
      <c r="AM557" s="341" t="s">
        <v>19</v>
      </c>
      <c r="AN557" s="345">
        <v>25797</v>
      </c>
      <c r="AO557" s="341" t="s">
        <v>1091</v>
      </c>
      <c r="AP557" t="s">
        <v>1625</v>
      </c>
      <c r="AQ557">
        <v>25797</v>
      </c>
      <c r="AR557" s="350">
        <v>97.59</v>
      </c>
      <c r="AS557" s="350">
        <v>97.73</v>
      </c>
      <c r="AT557" s="350">
        <v>97.58</v>
      </c>
    </row>
    <row r="558" spans="38:46">
      <c r="AL558" s="346">
        <v>25</v>
      </c>
      <c r="AM558" s="342" t="s">
        <v>19</v>
      </c>
      <c r="AN558" s="346">
        <v>25799</v>
      </c>
      <c r="AO558" s="342" t="s">
        <v>1095</v>
      </c>
      <c r="AP558" t="s">
        <v>1626</v>
      </c>
      <c r="AQ558">
        <v>25799</v>
      </c>
      <c r="AR558" s="350">
        <v>99.35</v>
      </c>
      <c r="AS558" s="350">
        <v>99.5</v>
      </c>
      <c r="AT558" s="350">
        <v>99.24</v>
      </c>
    </row>
    <row r="559" spans="38:46">
      <c r="AL559" s="345">
        <v>25</v>
      </c>
      <c r="AM559" s="341" t="s">
        <v>19</v>
      </c>
      <c r="AN559" s="345">
        <v>25805</v>
      </c>
      <c r="AO559" s="341" t="s">
        <v>1099</v>
      </c>
      <c r="AP559" t="s">
        <v>1627</v>
      </c>
      <c r="AQ559">
        <v>25805</v>
      </c>
      <c r="AR559" s="350">
        <v>95.64</v>
      </c>
      <c r="AS559" s="350">
        <v>98.32</v>
      </c>
      <c r="AT559" s="350">
        <v>95.31</v>
      </c>
    </row>
    <row r="560" spans="38:46">
      <c r="AL560" s="346">
        <v>25</v>
      </c>
      <c r="AM560" s="342" t="s">
        <v>19</v>
      </c>
      <c r="AN560" s="346">
        <v>25807</v>
      </c>
      <c r="AO560" s="342" t="s">
        <v>1103</v>
      </c>
      <c r="AP560" t="s">
        <v>1628</v>
      </c>
      <c r="AQ560">
        <v>25807</v>
      </c>
      <c r="AR560" s="350">
        <v>94.23</v>
      </c>
      <c r="AS560" s="350">
        <v>99.47</v>
      </c>
      <c r="AT560" s="350">
        <v>92.98</v>
      </c>
    </row>
    <row r="561" spans="38:46">
      <c r="AL561" s="345">
        <v>25</v>
      </c>
      <c r="AM561" s="341" t="s">
        <v>19</v>
      </c>
      <c r="AN561" s="345">
        <v>25815</v>
      </c>
      <c r="AO561" s="341" t="s">
        <v>1107</v>
      </c>
      <c r="AP561" t="s">
        <v>1629</v>
      </c>
      <c r="AQ561">
        <v>25815</v>
      </c>
      <c r="AR561" s="350">
        <v>97.69</v>
      </c>
      <c r="AS561" s="350">
        <v>99.39</v>
      </c>
      <c r="AT561" s="350">
        <v>95.29</v>
      </c>
    </row>
    <row r="562" spans="38:46">
      <c r="AL562" s="346">
        <v>25</v>
      </c>
      <c r="AM562" s="342" t="s">
        <v>19</v>
      </c>
      <c r="AN562" s="346">
        <v>25817</v>
      </c>
      <c r="AO562" s="342" t="s">
        <v>1111</v>
      </c>
      <c r="AP562" t="s">
        <v>1630</v>
      </c>
      <c r="AQ562">
        <v>25817</v>
      </c>
      <c r="AR562" s="350">
        <v>99.63</v>
      </c>
      <c r="AS562" s="350">
        <v>99.55</v>
      </c>
      <c r="AT562" s="350">
        <v>99.66</v>
      </c>
    </row>
    <row r="563" spans="38:46">
      <c r="AL563" s="345">
        <v>25</v>
      </c>
      <c r="AM563" s="341" t="s">
        <v>19</v>
      </c>
      <c r="AN563" s="345">
        <v>25823</v>
      </c>
      <c r="AO563" s="341" t="s">
        <v>1114</v>
      </c>
      <c r="AP563" t="s">
        <v>1631</v>
      </c>
      <c r="AQ563">
        <v>25823</v>
      </c>
      <c r="AR563" s="350">
        <v>80.41</v>
      </c>
      <c r="AS563" s="350">
        <v>94.96</v>
      </c>
      <c r="AT563" s="350">
        <v>77.489999999999995</v>
      </c>
    </row>
    <row r="564" spans="38:46">
      <c r="AL564" s="346">
        <v>25</v>
      </c>
      <c r="AM564" s="342" t="s">
        <v>19</v>
      </c>
      <c r="AN564" s="346">
        <v>25839</v>
      </c>
      <c r="AO564" s="342" t="s">
        <v>1117</v>
      </c>
      <c r="AP564" t="s">
        <v>1632</v>
      </c>
      <c r="AQ564">
        <v>25839</v>
      </c>
      <c r="AR564" s="350">
        <v>83.65</v>
      </c>
      <c r="AS564" s="350">
        <v>97.87</v>
      </c>
      <c r="AT564" s="350">
        <v>81.39</v>
      </c>
    </row>
    <row r="565" spans="38:46">
      <c r="AL565" s="345">
        <v>25</v>
      </c>
      <c r="AM565" s="341" t="s">
        <v>19</v>
      </c>
      <c r="AN565" s="345">
        <v>25841</v>
      </c>
      <c r="AO565" s="341" t="s">
        <v>1121</v>
      </c>
      <c r="AP565" t="s">
        <v>1633</v>
      </c>
      <c r="AQ565">
        <v>25841</v>
      </c>
      <c r="AR565" s="350">
        <v>92</v>
      </c>
      <c r="AS565" s="350">
        <v>99.18</v>
      </c>
      <c r="AT565" s="350">
        <v>90.53</v>
      </c>
    </row>
    <row r="566" spans="38:46">
      <c r="AL566" s="346">
        <v>25</v>
      </c>
      <c r="AM566" s="342" t="s">
        <v>19</v>
      </c>
      <c r="AN566" s="346">
        <v>25843</v>
      </c>
      <c r="AO566" s="342" t="s">
        <v>1145</v>
      </c>
      <c r="AP566" t="s">
        <v>1634</v>
      </c>
      <c r="AQ566">
        <v>25843</v>
      </c>
      <c r="AR566" s="350">
        <v>99.63</v>
      </c>
      <c r="AS566" s="350">
        <v>99.75</v>
      </c>
      <c r="AT566" s="350">
        <v>99.26</v>
      </c>
    </row>
    <row r="567" spans="38:46">
      <c r="AL567" s="345">
        <v>25</v>
      </c>
      <c r="AM567" s="341" t="s">
        <v>19</v>
      </c>
      <c r="AN567" s="345">
        <v>25845</v>
      </c>
      <c r="AO567" s="341" t="s">
        <v>1125</v>
      </c>
      <c r="AP567" t="s">
        <v>1635</v>
      </c>
      <c r="AQ567">
        <v>25845</v>
      </c>
      <c r="AR567" s="350">
        <v>97.43</v>
      </c>
      <c r="AS567" s="350">
        <v>99.48</v>
      </c>
      <c r="AT567" s="350">
        <v>95.11</v>
      </c>
    </row>
    <row r="568" spans="38:46">
      <c r="AL568" s="346">
        <v>25</v>
      </c>
      <c r="AM568" s="342" t="s">
        <v>19</v>
      </c>
      <c r="AN568" s="346">
        <v>25851</v>
      </c>
      <c r="AO568" s="342" t="s">
        <v>1129</v>
      </c>
      <c r="AP568" t="s">
        <v>1636</v>
      </c>
      <c r="AQ568">
        <v>25851</v>
      </c>
      <c r="AR568" s="350">
        <v>94.56</v>
      </c>
      <c r="AS568" s="350">
        <v>97.55</v>
      </c>
      <c r="AT568" s="350">
        <v>90.61</v>
      </c>
    </row>
    <row r="569" spans="38:46">
      <c r="AL569" s="345">
        <v>25</v>
      </c>
      <c r="AM569" s="341" t="s">
        <v>19</v>
      </c>
      <c r="AN569" s="345">
        <v>25862</v>
      </c>
      <c r="AO569" s="341" t="s">
        <v>1137</v>
      </c>
      <c r="AP569" t="s">
        <v>1637</v>
      </c>
      <c r="AQ569">
        <v>25862</v>
      </c>
      <c r="AR569" s="350">
        <v>89.5</v>
      </c>
      <c r="AS569" s="350">
        <v>98.31</v>
      </c>
      <c r="AT569" s="350">
        <v>87.75</v>
      </c>
    </row>
    <row r="570" spans="38:46">
      <c r="AL570" s="346">
        <v>25</v>
      </c>
      <c r="AM570" s="342" t="s">
        <v>19</v>
      </c>
      <c r="AN570" s="346">
        <v>25867</v>
      </c>
      <c r="AO570" s="342" t="s">
        <v>1141</v>
      </c>
      <c r="AP570" t="s">
        <v>1638</v>
      </c>
      <c r="AQ570">
        <v>25867</v>
      </c>
      <c r="AR570" s="350">
        <v>96.13</v>
      </c>
      <c r="AS570" s="350">
        <v>98.44</v>
      </c>
      <c r="AT570" s="350">
        <v>94.94</v>
      </c>
    </row>
    <row r="571" spans="38:46">
      <c r="AL571" s="345">
        <v>25</v>
      </c>
      <c r="AM571" s="341" t="s">
        <v>19</v>
      </c>
      <c r="AN571" s="345">
        <v>25871</v>
      </c>
      <c r="AO571" s="341" t="s">
        <v>1149</v>
      </c>
      <c r="AP571" t="s">
        <v>1639</v>
      </c>
      <c r="AQ571">
        <v>25871</v>
      </c>
      <c r="AR571" s="350">
        <v>84.6</v>
      </c>
      <c r="AS571" s="350">
        <v>96.31</v>
      </c>
      <c r="AT571" s="350">
        <v>78.25</v>
      </c>
    </row>
    <row r="572" spans="38:46">
      <c r="AL572" s="346">
        <v>25</v>
      </c>
      <c r="AM572" s="342" t="s">
        <v>19</v>
      </c>
      <c r="AN572" s="346">
        <v>25873</v>
      </c>
      <c r="AO572" s="342" t="s">
        <v>1153</v>
      </c>
      <c r="AP572" t="s">
        <v>1640</v>
      </c>
      <c r="AQ572">
        <v>25873</v>
      </c>
      <c r="AR572" s="350">
        <v>97.35</v>
      </c>
      <c r="AS572" s="350">
        <v>99.11</v>
      </c>
      <c r="AT572" s="350">
        <v>96.05</v>
      </c>
    </row>
    <row r="573" spans="38:46">
      <c r="AL573" s="345">
        <v>25</v>
      </c>
      <c r="AM573" s="341" t="s">
        <v>19</v>
      </c>
      <c r="AN573" s="345">
        <v>25875</v>
      </c>
      <c r="AO573" s="341" t="s">
        <v>1156</v>
      </c>
      <c r="AP573" t="s">
        <v>1641</v>
      </c>
      <c r="AQ573">
        <v>25875</v>
      </c>
      <c r="AR573" s="350">
        <v>98.32</v>
      </c>
      <c r="AS573" s="350">
        <v>99.46</v>
      </c>
      <c r="AT573" s="350">
        <v>95.95</v>
      </c>
    </row>
    <row r="574" spans="38:46">
      <c r="AL574" s="346">
        <v>25</v>
      </c>
      <c r="AM574" s="342" t="s">
        <v>19</v>
      </c>
      <c r="AN574" s="346">
        <v>25878</v>
      </c>
      <c r="AO574" s="342" t="s">
        <v>1160</v>
      </c>
      <c r="AP574" t="s">
        <v>1642</v>
      </c>
      <c r="AQ574">
        <v>25878</v>
      </c>
      <c r="AR574" s="350">
        <v>93.97</v>
      </c>
      <c r="AS574" s="350">
        <v>98.9</v>
      </c>
      <c r="AT574" s="350">
        <v>91.65</v>
      </c>
    </row>
    <row r="575" spans="38:46">
      <c r="AL575" s="345">
        <v>25</v>
      </c>
      <c r="AM575" s="341" t="s">
        <v>19</v>
      </c>
      <c r="AN575" s="345">
        <v>25885</v>
      </c>
      <c r="AO575" s="341" t="s">
        <v>1164</v>
      </c>
      <c r="AP575" t="s">
        <v>1643</v>
      </c>
      <c r="AQ575">
        <v>25885</v>
      </c>
      <c r="AR575" s="350">
        <v>88.8</v>
      </c>
      <c r="AS575" s="350">
        <v>97.55</v>
      </c>
      <c r="AT575" s="350">
        <v>86</v>
      </c>
    </row>
    <row r="576" spans="38:46">
      <c r="AL576" s="346">
        <v>25</v>
      </c>
      <c r="AM576" s="342" t="s">
        <v>19</v>
      </c>
      <c r="AN576" s="346">
        <v>25898</v>
      </c>
      <c r="AO576" s="342" t="s">
        <v>1168</v>
      </c>
      <c r="AP576" t="s">
        <v>1644</v>
      </c>
      <c r="AQ576">
        <v>25898</v>
      </c>
      <c r="AR576" s="350">
        <v>96.37</v>
      </c>
      <c r="AS576" s="350">
        <v>96.75</v>
      </c>
      <c r="AT576" s="350">
        <v>96.24</v>
      </c>
    </row>
    <row r="577" spans="38:46">
      <c r="AL577" s="345">
        <v>25</v>
      </c>
      <c r="AM577" s="341" t="s">
        <v>19</v>
      </c>
      <c r="AN577" s="345">
        <v>25899</v>
      </c>
      <c r="AO577" s="341" t="s">
        <v>1172</v>
      </c>
      <c r="AP577" t="s">
        <v>1645</v>
      </c>
      <c r="AQ577">
        <v>25899</v>
      </c>
      <c r="AR577" s="350">
        <v>99.81</v>
      </c>
      <c r="AS577" s="350">
        <v>99.87</v>
      </c>
      <c r="AT577" s="350">
        <v>99.56</v>
      </c>
    </row>
    <row r="578" spans="38:46">
      <c r="AL578" s="346">
        <v>27</v>
      </c>
      <c r="AM578" s="342" t="s">
        <v>17</v>
      </c>
      <c r="AN578" s="346">
        <v>27001</v>
      </c>
      <c r="AO578" s="342" t="s">
        <v>568</v>
      </c>
      <c r="AP578" t="s">
        <v>1646</v>
      </c>
      <c r="AQ578">
        <v>27001</v>
      </c>
      <c r="AR578" s="350">
        <v>94.44</v>
      </c>
      <c r="AS578" s="350">
        <v>98.94</v>
      </c>
      <c r="AT578" s="350">
        <v>52.52</v>
      </c>
    </row>
    <row r="579" spans="38:46">
      <c r="AL579" s="345">
        <v>27</v>
      </c>
      <c r="AM579" s="341" t="s">
        <v>17</v>
      </c>
      <c r="AN579" s="345">
        <v>27006</v>
      </c>
      <c r="AO579" s="341" t="s">
        <v>56</v>
      </c>
      <c r="AP579" t="s">
        <v>1647</v>
      </c>
      <c r="AQ579">
        <v>27006</v>
      </c>
      <c r="AR579" s="350">
        <v>80.010000000000005</v>
      </c>
      <c r="AS579" s="350">
        <v>96.81</v>
      </c>
      <c r="AT579" s="350">
        <v>61.24</v>
      </c>
    </row>
    <row r="580" spans="38:46">
      <c r="AL580" s="346">
        <v>27</v>
      </c>
      <c r="AM580" s="342" t="s">
        <v>17</v>
      </c>
      <c r="AN580" s="346">
        <v>27025</v>
      </c>
      <c r="AO580" s="342" t="s">
        <v>89</v>
      </c>
      <c r="AP580" t="s">
        <v>1648</v>
      </c>
      <c r="AQ580">
        <v>27025</v>
      </c>
      <c r="AR580" s="350">
        <v>30.61</v>
      </c>
      <c r="AS580" s="350">
        <v>70.84</v>
      </c>
      <c r="AT580" s="350">
        <v>23.41</v>
      </c>
    </row>
    <row r="581" spans="38:46">
      <c r="AL581" s="345">
        <v>27</v>
      </c>
      <c r="AM581" s="341" t="s">
        <v>17</v>
      </c>
      <c r="AN581" s="345">
        <v>27050</v>
      </c>
      <c r="AO581" s="341" t="s">
        <v>116</v>
      </c>
      <c r="AP581" t="s">
        <v>1649</v>
      </c>
      <c r="AQ581">
        <v>27050</v>
      </c>
      <c r="AR581" s="350">
        <v>96.08</v>
      </c>
      <c r="AS581" s="350">
        <v>96.88</v>
      </c>
      <c r="AT581" s="350">
        <v>95.42</v>
      </c>
    </row>
    <row r="582" spans="38:46">
      <c r="AL582" s="346">
        <v>27</v>
      </c>
      <c r="AM582" s="342" t="s">
        <v>17</v>
      </c>
      <c r="AN582" s="346">
        <v>27073</v>
      </c>
      <c r="AO582" s="342" t="s">
        <v>147</v>
      </c>
      <c r="AP582" t="s">
        <v>1650</v>
      </c>
      <c r="AQ582">
        <v>27073</v>
      </c>
      <c r="AR582" s="350">
        <v>49.28</v>
      </c>
      <c r="AS582" s="350">
        <v>96</v>
      </c>
      <c r="AT582" s="350">
        <v>31.46</v>
      </c>
    </row>
    <row r="583" spans="38:46">
      <c r="AL583" s="345">
        <v>27</v>
      </c>
      <c r="AM583" s="341" t="s">
        <v>17</v>
      </c>
      <c r="AN583" s="345">
        <v>27075</v>
      </c>
      <c r="AO583" s="341" t="s">
        <v>178</v>
      </c>
      <c r="AP583" t="s">
        <v>1651</v>
      </c>
      <c r="AQ583">
        <v>27075</v>
      </c>
      <c r="AR583" s="350">
        <v>97.59</v>
      </c>
      <c r="AS583" s="350">
        <v>97.17</v>
      </c>
      <c r="AT583" s="350">
        <v>98.38</v>
      </c>
    </row>
    <row r="584" spans="38:46">
      <c r="AL584" s="346">
        <v>27</v>
      </c>
      <c r="AM584" s="342" t="s">
        <v>17</v>
      </c>
      <c r="AN584" s="346">
        <v>27077</v>
      </c>
      <c r="AO584" s="342" t="s">
        <v>206</v>
      </c>
      <c r="AP584" t="s">
        <v>1652</v>
      </c>
      <c r="AQ584">
        <v>27077</v>
      </c>
      <c r="AR584" s="350">
        <v>64.8</v>
      </c>
      <c r="AS584" s="350">
        <v>96.47</v>
      </c>
      <c r="AT584" s="350">
        <v>54.84</v>
      </c>
    </row>
    <row r="585" spans="38:46">
      <c r="AL585" s="345">
        <v>27</v>
      </c>
      <c r="AM585" s="341" t="s">
        <v>17</v>
      </c>
      <c r="AN585" s="345">
        <v>27099</v>
      </c>
      <c r="AO585" s="341" t="s">
        <v>234</v>
      </c>
      <c r="AP585" t="s">
        <v>1653</v>
      </c>
      <c r="AQ585">
        <v>27099</v>
      </c>
      <c r="AR585" s="350">
        <v>31.16</v>
      </c>
      <c r="AS585" s="350">
        <v>95.68</v>
      </c>
      <c r="AT585" s="350">
        <v>22.91</v>
      </c>
    </row>
    <row r="586" spans="38:46">
      <c r="AL586" s="346">
        <v>27</v>
      </c>
      <c r="AM586" s="342" t="s">
        <v>17</v>
      </c>
      <c r="AN586" s="346">
        <v>27135</v>
      </c>
      <c r="AO586" s="342" t="s">
        <v>337</v>
      </c>
      <c r="AP586" t="s">
        <v>1654</v>
      </c>
      <c r="AQ586">
        <v>27135</v>
      </c>
      <c r="AR586" s="350">
        <v>93.2</v>
      </c>
      <c r="AS586" s="350">
        <v>98.46</v>
      </c>
      <c r="AT586" s="350">
        <v>88.99</v>
      </c>
    </row>
    <row r="587" spans="38:46">
      <c r="AL587" s="345">
        <v>27</v>
      </c>
      <c r="AM587" s="341" t="s">
        <v>17</v>
      </c>
      <c r="AN587" s="345">
        <v>27150</v>
      </c>
      <c r="AO587" s="341" t="s">
        <v>261</v>
      </c>
      <c r="AP587" t="s">
        <v>1655</v>
      </c>
      <c r="AQ587">
        <v>27150</v>
      </c>
      <c r="AR587" s="350">
        <v>58.98</v>
      </c>
      <c r="AS587" s="350">
        <v>92.72</v>
      </c>
      <c r="AT587" s="350">
        <v>53.36</v>
      </c>
    </row>
    <row r="588" spans="38:46">
      <c r="AL588" s="346">
        <v>27</v>
      </c>
      <c r="AM588" s="342" t="s">
        <v>17</v>
      </c>
      <c r="AN588" s="346">
        <v>27160</v>
      </c>
      <c r="AO588" s="342" t="s">
        <v>288</v>
      </c>
      <c r="AP588" t="s">
        <v>1656</v>
      </c>
      <c r="AQ588">
        <v>27160</v>
      </c>
      <c r="AR588" s="350">
        <v>68.569999999999993</v>
      </c>
      <c r="AS588" s="350">
        <v>99.54</v>
      </c>
      <c r="AT588" s="350">
        <v>32.450000000000003</v>
      </c>
    </row>
    <row r="589" spans="38:46">
      <c r="AL589" s="345">
        <v>27</v>
      </c>
      <c r="AM589" s="341" t="s">
        <v>17</v>
      </c>
      <c r="AN589" s="345">
        <v>27205</v>
      </c>
      <c r="AO589" s="341" t="s">
        <v>313</v>
      </c>
      <c r="AP589" t="s">
        <v>1657</v>
      </c>
      <c r="AQ589">
        <v>27205</v>
      </c>
      <c r="AR589" s="350">
        <v>92.73</v>
      </c>
      <c r="AS589" s="350">
        <v>98.58</v>
      </c>
      <c r="AT589" s="350">
        <v>74.12</v>
      </c>
    </row>
    <row r="590" spans="38:46">
      <c r="AL590" s="346">
        <v>27</v>
      </c>
      <c r="AM590" s="342" t="s">
        <v>17</v>
      </c>
      <c r="AN590" s="346">
        <v>27245</v>
      </c>
      <c r="AO590" s="342" t="s">
        <v>362</v>
      </c>
      <c r="AP590" t="s">
        <v>1658</v>
      </c>
      <c r="AQ590">
        <v>27245</v>
      </c>
      <c r="AR590" s="350">
        <v>91.95</v>
      </c>
      <c r="AS590" s="350">
        <v>99.67</v>
      </c>
      <c r="AT590" s="350">
        <v>87.18</v>
      </c>
    </row>
    <row r="591" spans="38:46">
      <c r="AL591" s="345">
        <v>27</v>
      </c>
      <c r="AM591" s="341" t="s">
        <v>17</v>
      </c>
      <c r="AN591" s="345">
        <v>27250</v>
      </c>
      <c r="AO591" s="341" t="s">
        <v>385</v>
      </c>
      <c r="AP591" t="s">
        <v>1659</v>
      </c>
      <c r="AQ591">
        <v>27250</v>
      </c>
      <c r="AR591" s="350">
        <v>28.57</v>
      </c>
      <c r="AS591" s="350">
        <v>90.54</v>
      </c>
      <c r="AT591" s="350">
        <v>18.46</v>
      </c>
    </row>
    <row r="592" spans="38:46">
      <c r="AL592" s="346">
        <v>27</v>
      </c>
      <c r="AM592" s="342" t="s">
        <v>17</v>
      </c>
      <c r="AN592" s="346">
        <v>27361</v>
      </c>
      <c r="AO592" s="342" t="s">
        <v>408</v>
      </c>
      <c r="AP592" t="s">
        <v>1660</v>
      </c>
      <c r="AQ592">
        <v>27361</v>
      </c>
      <c r="AR592" s="350">
        <v>89.96</v>
      </c>
      <c r="AS592" s="350">
        <v>98.26</v>
      </c>
      <c r="AT592" s="350">
        <v>63.13</v>
      </c>
    </row>
    <row r="593" spans="38:46">
      <c r="AL593" s="345">
        <v>27</v>
      </c>
      <c r="AM593" s="341" t="s">
        <v>17</v>
      </c>
      <c r="AN593" s="345">
        <v>27372</v>
      </c>
      <c r="AO593" s="341" t="s">
        <v>431</v>
      </c>
      <c r="AP593" t="s">
        <v>1661</v>
      </c>
      <c r="AQ593">
        <v>27372</v>
      </c>
      <c r="AR593" s="350">
        <v>65.44</v>
      </c>
      <c r="AS593" s="350">
        <v>92.57</v>
      </c>
      <c r="AT593" s="350">
        <v>40.19</v>
      </c>
    </row>
    <row r="594" spans="38:46">
      <c r="AL594" s="346">
        <v>27</v>
      </c>
      <c r="AM594" s="342" t="s">
        <v>17</v>
      </c>
      <c r="AN594" s="346">
        <v>27413</v>
      </c>
      <c r="AO594" s="342" t="s">
        <v>454</v>
      </c>
      <c r="AP594" t="s">
        <v>1662</v>
      </c>
      <c r="AQ594">
        <v>27413</v>
      </c>
      <c r="AR594" s="350">
        <v>56.34</v>
      </c>
      <c r="AS594" s="350">
        <v>76.17</v>
      </c>
      <c r="AT594" s="350">
        <v>42.92</v>
      </c>
    </row>
    <row r="595" spans="38:46">
      <c r="AL595" s="345">
        <v>27</v>
      </c>
      <c r="AM595" s="341" t="s">
        <v>17</v>
      </c>
      <c r="AN595" s="345">
        <v>27425</v>
      </c>
      <c r="AO595" s="341" t="s">
        <v>474</v>
      </c>
      <c r="AP595" t="s">
        <v>1663</v>
      </c>
      <c r="AQ595">
        <v>27425</v>
      </c>
      <c r="AR595" s="350">
        <v>8.9</v>
      </c>
      <c r="AS595" s="350">
        <v>83.33</v>
      </c>
      <c r="AT595" s="350">
        <v>1.76</v>
      </c>
    </row>
    <row r="596" spans="38:46">
      <c r="AL596" s="346">
        <v>27</v>
      </c>
      <c r="AM596" s="342" t="s">
        <v>17</v>
      </c>
      <c r="AN596" s="346">
        <v>27430</v>
      </c>
      <c r="AO596" s="342" t="s">
        <v>494</v>
      </c>
      <c r="AP596" t="s">
        <v>1664</v>
      </c>
      <c r="AQ596">
        <v>27430</v>
      </c>
      <c r="AR596" s="350">
        <v>66.81</v>
      </c>
      <c r="AS596" s="350">
        <v>99.09</v>
      </c>
      <c r="AT596" s="350">
        <v>62.32</v>
      </c>
    </row>
    <row r="597" spans="38:46">
      <c r="AL597" s="345">
        <v>27</v>
      </c>
      <c r="AM597" s="341" t="s">
        <v>17</v>
      </c>
      <c r="AN597" s="345">
        <v>27450</v>
      </c>
      <c r="AO597" s="341" t="s">
        <v>514</v>
      </c>
      <c r="AP597" t="s">
        <v>1665</v>
      </c>
      <c r="AQ597">
        <v>27450</v>
      </c>
      <c r="AR597" s="350">
        <v>75.22</v>
      </c>
      <c r="AS597" s="350">
        <v>98.45</v>
      </c>
      <c r="AT597" s="350">
        <v>65.14</v>
      </c>
    </row>
    <row r="598" spans="38:46">
      <c r="AL598" s="346">
        <v>27</v>
      </c>
      <c r="AM598" s="342" t="s">
        <v>17</v>
      </c>
      <c r="AN598" s="346">
        <v>27491</v>
      </c>
      <c r="AO598" s="342" t="s">
        <v>532</v>
      </c>
      <c r="AP598" t="s">
        <v>1666</v>
      </c>
      <c r="AQ598">
        <v>27491</v>
      </c>
      <c r="AR598" s="350">
        <v>67.959999999999994</v>
      </c>
      <c r="AS598" s="350">
        <v>98.66</v>
      </c>
      <c r="AT598" s="350">
        <v>47.59</v>
      </c>
    </row>
    <row r="599" spans="38:46">
      <c r="AL599" s="345">
        <v>27</v>
      </c>
      <c r="AM599" s="341" t="s">
        <v>17</v>
      </c>
      <c r="AN599" s="345">
        <v>27495</v>
      </c>
      <c r="AO599" s="341" t="s">
        <v>551</v>
      </c>
      <c r="AP599" t="s">
        <v>1667</v>
      </c>
      <c r="AQ599">
        <v>27495</v>
      </c>
      <c r="AR599" s="350">
        <v>84.45</v>
      </c>
      <c r="AS599" s="350">
        <v>95.32</v>
      </c>
      <c r="AT599" s="350">
        <v>78.69</v>
      </c>
    </row>
    <row r="600" spans="38:46">
      <c r="AL600" s="346">
        <v>27</v>
      </c>
      <c r="AM600" s="342" t="s">
        <v>17</v>
      </c>
      <c r="AN600" s="346">
        <v>27580</v>
      </c>
      <c r="AO600" s="342" t="s">
        <v>589</v>
      </c>
      <c r="AP600" t="s">
        <v>1668</v>
      </c>
      <c r="AQ600">
        <v>27580</v>
      </c>
      <c r="AR600" s="350">
        <v>86.87</v>
      </c>
      <c r="AS600" s="350">
        <v>98.22</v>
      </c>
      <c r="AT600" s="350">
        <v>80.790000000000006</v>
      </c>
    </row>
    <row r="601" spans="38:46">
      <c r="AL601" s="345">
        <v>27</v>
      </c>
      <c r="AM601" s="341" t="s">
        <v>17</v>
      </c>
      <c r="AN601" s="345">
        <v>27600</v>
      </c>
      <c r="AO601" s="341" t="s">
        <v>605</v>
      </c>
      <c r="AP601" t="s">
        <v>1669</v>
      </c>
      <c r="AQ601">
        <v>27600</v>
      </c>
      <c r="AR601" s="350">
        <v>88.52</v>
      </c>
      <c r="AS601" s="350">
        <v>99.7</v>
      </c>
      <c r="AT601" s="350">
        <v>83.54</v>
      </c>
    </row>
    <row r="602" spans="38:46">
      <c r="AL602" s="346">
        <v>27</v>
      </c>
      <c r="AM602" s="342" t="s">
        <v>17</v>
      </c>
      <c r="AN602" s="346">
        <v>27615</v>
      </c>
      <c r="AO602" s="342" t="s">
        <v>510</v>
      </c>
      <c r="AP602" t="s">
        <v>1670</v>
      </c>
      <c r="AQ602">
        <v>27615</v>
      </c>
      <c r="AR602" s="350">
        <v>69.739999999999995</v>
      </c>
      <c r="AS602" s="350">
        <v>92.13</v>
      </c>
      <c r="AT602" s="350">
        <v>62.56</v>
      </c>
    </row>
    <row r="603" spans="38:46">
      <c r="AL603" s="345">
        <v>27</v>
      </c>
      <c r="AM603" s="341" t="s">
        <v>17</v>
      </c>
      <c r="AN603" s="345">
        <v>27660</v>
      </c>
      <c r="AO603" s="341" t="s">
        <v>639</v>
      </c>
      <c r="AP603" t="s">
        <v>1671</v>
      </c>
      <c r="AQ603">
        <v>27660</v>
      </c>
      <c r="AR603" s="350">
        <v>63.43</v>
      </c>
      <c r="AS603" s="350">
        <v>98.26</v>
      </c>
      <c r="AT603" s="350">
        <v>50.51</v>
      </c>
    </row>
    <row r="604" spans="38:46">
      <c r="AL604" s="346">
        <v>27</v>
      </c>
      <c r="AM604" s="342" t="s">
        <v>17</v>
      </c>
      <c r="AN604" s="346">
        <v>27745</v>
      </c>
      <c r="AO604" s="342" t="s">
        <v>655</v>
      </c>
      <c r="AP604" t="s">
        <v>1672</v>
      </c>
      <c r="AQ604">
        <v>27745</v>
      </c>
      <c r="AR604" s="350">
        <v>4.13</v>
      </c>
      <c r="AS604" s="350">
        <v>14.95</v>
      </c>
      <c r="AT604" s="350">
        <v>0.47</v>
      </c>
    </row>
    <row r="605" spans="38:46">
      <c r="AL605" s="345">
        <v>27</v>
      </c>
      <c r="AM605" s="341" t="s">
        <v>17</v>
      </c>
      <c r="AN605" s="345">
        <v>27787</v>
      </c>
      <c r="AO605" s="341" t="s">
        <v>670</v>
      </c>
      <c r="AP605" t="s">
        <v>1673</v>
      </c>
      <c r="AQ605">
        <v>27787</v>
      </c>
      <c r="AR605" s="350">
        <v>88.27</v>
      </c>
      <c r="AS605" s="350">
        <v>98.98</v>
      </c>
      <c r="AT605" s="350">
        <v>70.3</v>
      </c>
    </row>
    <row r="606" spans="38:46">
      <c r="AL606" s="346">
        <v>27</v>
      </c>
      <c r="AM606" s="342" t="s">
        <v>17</v>
      </c>
      <c r="AN606" s="346">
        <v>27800</v>
      </c>
      <c r="AO606" s="342" t="s">
        <v>684</v>
      </c>
      <c r="AP606" t="s">
        <v>1674</v>
      </c>
      <c r="AQ606">
        <v>27800</v>
      </c>
      <c r="AR606" s="350">
        <v>74.760000000000005</v>
      </c>
      <c r="AS606" s="350">
        <v>96.96</v>
      </c>
      <c r="AT606" s="350">
        <v>63</v>
      </c>
    </row>
    <row r="607" spans="38:46">
      <c r="AL607" s="345">
        <v>27</v>
      </c>
      <c r="AM607" s="341" t="s">
        <v>17</v>
      </c>
      <c r="AN607" s="345">
        <v>27810</v>
      </c>
      <c r="AO607" s="341" t="s">
        <v>700</v>
      </c>
      <c r="AP607" t="s">
        <v>1675</v>
      </c>
      <c r="AQ607">
        <v>27810</v>
      </c>
      <c r="AR607" s="350">
        <v>95.74</v>
      </c>
      <c r="AS607" s="350">
        <v>95.62</v>
      </c>
      <c r="AT607" s="350">
        <v>95.84</v>
      </c>
    </row>
    <row r="608" spans="38:46">
      <c r="AL608" s="346">
        <v>41</v>
      </c>
      <c r="AM608" s="342" t="s">
        <v>22</v>
      </c>
      <c r="AN608" s="346">
        <v>41001</v>
      </c>
      <c r="AO608" s="342" t="s">
        <v>517</v>
      </c>
      <c r="AP608" t="s">
        <v>1676</v>
      </c>
      <c r="AQ608">
        <v>41001</v>
      </c>
      <c r="AR608" s="350">
        <v>98.94</v>
      </c>
      <c r="AS608" s="350">
        <v>99.09</v>
      </c>
      <c r="AT608" s="350">
        <v>96.45</v>
      </c>
    </row>
    <row r="609" spans="38:46">
      <c r="AL609" s="345">
        <v>41</v>
      </c>
      <c r="AM609" s="341" t="s">
        <v>22</v>
      </c>
      <c r="AN609" s="345">
        <v>41006</v>
      </c>
      <c r="AO609" s="341" t="s">
        <v>61</v>
      </c>
      <c r="AP609" t="s">
        <v>1677</v>
      </c>
      <c r="AQ609">
        <v>41006</v>
      </c>
      <c r="AR609" s="350">
        <v>85.75</v>
      </c>
      <c r="AS609" s="350">
        <v>97.43</v>
      </c>
      <c r="AT609" s="350">
        <v>82.94</v>
      </c>
    </row>
    <row r="610" spans="38:46">
      <c r="AL610" s="346">
        <v>41</v>
      </c>
      <c r="AM610" s="342" t="s">
        <v>22</v>
      </c>
      <c r="AN610" s="346">
        <v>41013</v>
      </c>
      <c r="AO610" s="342" t="s">
        <v>92</v>
      </c>
      <c r="AP610" t="s">
        <v>1678</v>
      </c>
      <c r="AQ610">
        <v>41013</v>
      </c>
      <c r="AR610" s="350">
        <v>96.82</v>
      </c>
      <c r="AS610" s="350">
        <v>97.92</v>
      </c>
      <c r="AT610" s="350">
        <v>94.55</v>
      </c>
    </row>
    <row r="611" spans="38:46">
      <c r="AL611" s="345">
        <v>41</v>
      </c>
      <c r="AM611" s="341" t="s">
        <v>22</v>
      </c>
      <c r="AN611" s="345">
        <v>41016</v>
      </c>
      <c r="AO611" s="341" t="s">
        <v>121</v>
      </c>
      <c r="AP611" t="s">
        <v>1679</v>
      </c>
      <c r="AQ611">
        <v>41016</v>
      </c>
      <c r="AR611" s="350">
        <v>94.46</v>
      </c>
      <c r="AS611" s="350">
        <v>96.77</v>
      </c>
      <c r="AT611" s="350">
        <v>89.69</v>
      </c>
    </row>
    <row r="612" spans="38:46">
      <c r="AL612" s="346">
        <v>41</v>
      </c>
      <c r="AM612" s="342" t="s">
        <v>22</v>
      </c>
      <c r="AN612" s="346">
        <v>41020</v>
      </c>
      <c r="AO612" s="342" t="s">
        <v>152</v>
      </c>
      <c r="AP612" t="s">
        <v>1680</v>
      </c>
      <c r="AQ612">
        <v>41020</v>
      </c>
      <c r="AR612" s="350">
        <v>92.36</v>
      </c>
      <c r="AS612" s="350">
        <v>95.99</v>
      </c>
      <c r="AT612" s="350">
        <v>88.48</v>
      </c>
    </row>
    <row r="613" spans="38:46">
      <c r="AL613" s="345">
        <v>41</v>
      </c>
      <c r="AM613" s="341" t="s">
        <v>22</v>
      </c>
      <c r="AN613" s="345">
        <v>41026</v>
      </c>
      <c r="AO613" s="341" t="s">
        <v>182</v>
      </c>
      <c r="AP613" t="s">
        <v>1681</v>
      </c>
      <c r="AQ613">
        <v>41026</v>
      </c>
      <c r="AR613" s="350">
        <v>96.46</v>
      </c>
      <c r="AS613" s="350">
        <v>98.79</v>
      </c>
      <c r="AT613" s="350">
        <v>91.9</v>
      </c>
    </row>
    <row r="614" spans="38:46">
      <c r="AL614" s="346">
        <v>41</v>
      </c>
      <c r="AM614" s="342" t="s">
        <v>22</v>
      </c>
      <c r="AN614" s="346">
        <v>41078</v>
      </c>
      <c r="AO614" s="342" t="s">
        <v>210</v>
      </c>
      <c r="AP614" t="s">
        <v>1682</v>
      </c>
      <c r="AQ614">
        <v>41078</v>
      </c>
      <c r="AR614" s="350">
        <v>94.37</v>
      </c>
      <c r="AS614" s="350">
        <v>99.28</v>
      </c>
      <c r="AT614" s="350">
        <v>88.11</v>
      </c>
    </row>
    <row r="615" spans="38:46">
      <c r="AL615" s="345">
        <v>41</v>
      </c>
      <c r="AM615" s="341" t="s">
        <v>22</v>
      </c>
      <c r="AN615" s="345">
        <v>41132</v>
      </c>
      <c r="AO615" s="341" t="s">
        <v>238</v>
      </c>
      <c r="AP615" t="s">
        <v>1683</v>
      </c>
      <c r="AQ615">
        <v>41132</v>
      </c>
      <c r="AR615" s="350">
        <v>95.38</v>
      </c>
      <c r="AS615" s="350">
        <v>95.91</v>
      </c>
      <c r="AT615" s="350">
        <v>93.53</v>
      </c>
    </row>
    <row r="616" spans="38:46">
      <c r="AL616" s="346">
        <v>41</v>
      </c>
      <c r="AM616" s="342" t="s">
        <v>22</v>
      </c>
      <c r="AN616" s="346">
        <v>41206</v>
      </c>
      <c r="AO616" s="342" t="s">
        <v>265</v>
      </c>
      <c r="AP616" t="s">
        <v>1684</v>
      </c>
      <c r="AQ616">
        <v>41206</v>
      </c>
      <c r="AR616" s="350">
        <v>93.25</v>
      </c>
      <c r="AS616" s="350">
        <v>99.12</v>
      </c>
      <c r="AT616" s="350">
        <v>90.61</v>
      </c>
    </row>
    <row r="617" spans="38:46">
      <c r="AL617" s="345">
        <v>41</v>
      </c>
      <c r="AM617" s="341" t="s">
        <v>22</v>
      </c>
      <c r="AN617" s="345">
        <v>41244</v>
      </c>
      <c r="AO617" s="341" t="s">
        <v>291</v>
      </c>
      <c r="AP617" t="s">
        <v>1685</v>
      </c>
      <c r="AQ617">
        <v>41244</v>
      </c>
      <c r="AR617" s="350">
        <v>93.78</v>
      </c>
      <c r="AS617" s="350">
        <v>99.75</v>
      </c>
      <c r="AT617" s="350">
        <v>90.57</v>
      </c>
    </row>
    <row r="618" spans="38:46">
      <c r="AL618" s="346">
        <v>41</v>
      </c>
      <c r="AM618" s="342" t="s">
        <v>22</v>
      </c>
      <c r="AN618" s="346">
        <v>41298</v>
      </c>
      <c r="AO618" s="342" t="s">
        <v>316</v>
      </c>
      <c r="AP618" t="s">
        <v>1686</v>
      </c>
      <c r="AQ618">
        <v>41298</v>
      </c>
      <c r="AR618" s="350">
        <v>97.36</v>
      </c>
      <c r="AS618" s="350">
        <v>98.93</v>
      </c>
      <c r="AT618" s="350">
        <v>95.24</v>
      </c>
    </row>
    <row r="619" spans="38:46">
      <c r="AL619" s="345">
        <v>41</v>
      </c>
      <c r="AM619" s="341" t="s">
        <v>22</v>
      </c>
      <c r="AN619" s="345">
        <v>41306</v>
      </c>
      <c r="AO619" s="341" t="s">
        <v>340</v>
      </c>
      <c r="AP619" t="s">
        <v>1687</v>
      </c>
      <c r="AQ619">
        <v>41306</v>
      </c>
      <c r="AR619" s="350">
        <v>95.71</v>
      </c>
      <c r="AS619" s="350">
        <v>98.51</v>
      </c>
      <c r="AT619" s="350">
        <v>93.6</v>
      </c>
    </row>
    <row r="620" spans="38:46">
      <c r="AL620" s="346">
        <v>41</v>
      </c>
      <c r="AM620" s="342" t="s">
        <v>22</v>
      </c>
      <c r="AN620" s="346">
        <v>41319</v>
      </c>
      <c r="AO620" s="342" t="s">
        <v>365</v>
      </c>
      <c r="AP620" t="s">
        <v>1688</v>
      </c>
      <c r="AQ620">
        <v>41319</v>
      </c>
      <c r="AR620" s="350">
        <v>93.78</v>
      </c>
      <c r="AS620" s="350">
        <v>99.3</v>
      </c>
      <c r="AT620" s="350">
        <v>90.77</v>
      </c>
    </row>
    <row r="621" spans="38:46">
      <c r="AL621" s="345">
        <v>41</v>
      </c>
      <c r="AM621" s="341" t="s">
        <v>22</v>
      </c>
      <c r="AN621" s="345">
        <v>41349</v>
      </c>
      <c r="AO621" s="341" t="s">
        <v>388</v>
      </c>
      <c r="AP621" t="s">
        <v>1689</v>
      </c>
      <c r="AQ621">
        <v>41349</v>
      </c>
      <c r="AR621" s="350">
        <v>82.8</v>
      </c>
      <c r="AS621" s="350">
        <v>94.53</v>
      </c>
      <c r="AT621" s="350">
        <v>44.27</v>
      </c>
    </row>
    <row r="622" spans="38:46">
      <c r="AL622" s="346">
        <v>41</v>
      </c>
      <c r="AM622" s="342" t="s">
        <v>22</v>
      </c>
      <c r="AN622" s="346">
        <v>41357</v>
      </c>
      <c r="AO622" s="342" t="s">
        <v>411</v>
      </c>
      <c r="AP622" t="s">
        <v>1690</v>
      </c>
      <c r="AQ622">
        <v>41357</v>
      </c>
      <c r="AR622" s="350">
        <v>92.86</v>
      </c>
      <c r="AS622" s="350">
        <v>99.17</v>
      </c>
      <c r="AT622" s="350">
        <v>89.72</v>
      </c>
    </row>
    <row r="623" spans="38:46">
      <c r="AL623" s="345">
        <v>41</v>
      </c>
      <c r="AM623" s="341" t="s">
        <v>22</v>
      </c>
      <c r="AN623" s="345">
        <v>41359</v>
      </c>
      <c r="AO623" s="341" t="s">
        <v>434</v>
      </c>
      <c r="AP623" t="s">
        <v>1691</v>
      </c>
      <c r="AQ623">
        <v>41359</v>
      </c>
      <c r="AR623" s="350">
        <v>89.01</v>
      </c>
      <c r="AS623" s="350">
        <v>97.46</v>
      </c>
      <c r="AT623" s="350">
        <v>86.07</v>
      </c>
    </row>
    <row r="624" spans="38:46">
      <c r="AL624" s="346">
        <v>41</v>
      </c>
      <c r="AM624" s="342" t="s">
        <v>22</v>
      </c>
      <c r="AN624" s="346">
        <v>41378</v>
      </c>
      <c r="AO624" s="342" t="s">
        <v>457</v>
      </c>
      <c r="AP624" t="s">
        <v>1692</v>
      </c>
      <c r="AQ624">
        <v>41378</v>
      </c>
      <c r="AR624" s="350">
        <v>93.41</v>
      </c>
      <c r="AS624" s="350">
        <v>98.95</v>
      </c>
      <c r="AT624" s="350">
        <v>89.45</v>
      </c>
    </row>
    <row r="625" spans="38:46">
      <c r="AL625" s="345">
        <v>41</v>
      </c>
      <c r="AM625" s="341" t="s">
        <v>22</v>
      </c>
      <c r="AN625" s="345">
        <v>41396</v>
      </c>
      <c r="AO625" s="341" t="s">
        <v>477</v>
      </c>
      <c r="AP625" t="s">
        <v>1693</v>
      </c>
      <c r="AQ625">
        <v>41396</v>
      </c>
      <c r="AR625" s="350">
        <v>91.53</v>
      </c>
      <c r="AS625" s="350">
        <v>98.75</v>
      </c>
      <c r="AT625" s="350">
        <v>84.98</v>
      </c>
    </row>
    <row r="626" spans="38:46">
      <c r="AL626" s="346">
        <v>41</v>
      </c>
      <c r="AM626" s="342" t="s">
        <v>22</v>
      </c>
      <c r="AN626" s="346">
        <v>41483</v>
      </c>
      <c r="AO626" s="342" t="s">
        <v>497</v>
      </c>
      <c r="AP626" t="s">
        <v>1694</v>
      </c>
      <c r="AQ626">
        <v>41483</v>
      </c>
      <c r="AR626" s="350">
        <v>90.05</v>
      </c>
      <c r="AS626" s="350">
        <v>97.84</v>
      </c>
      <c r="AT626" s="350">
        <v>84.62</v>
      </c>
    </row>
    <row r="627" spans="38:46">
      <c r="AL627" s="345">
        <v>41</v>
      </c>
      <c r="AM627" s="341" t="s">
        <v>22</v>
      </c>
      <c r="AN627" s="345">
        <v>41503</v>
      </c>
      <c r="AO627" s="341" t="s">
        <v>535</v>
      </c>
      <c r="AP627" t="s">
        <v>1695</v>
      </c>
      <c r="AQ627">
        <v>41503</v>
      </c>
      <c r="AR627" s="350">
        <v>93.57</v>
      </c>
      <c r="AS627" s="350">
        <v>98.22</v>
      </c>
      <c r="AT627" s="350">
        <v>92.15</v>
      </c>
    </row>
    <row r="628" spans="38:46">
      <c r="AL628" s="346">
        <v>41</v>
      </c>
      <c r="AM628" s="342" t="s">
        <v>22</v>
      </c>
      <c r="AN628" s="346">
        <v>41518</v>
      </c>
      <c r="AO628" s="342" t="s">
        <v>554</v>
      </c>
      <c r="AP628" t="s">
        <v>1696</v>
      </c>
      <c r="AQ628">
        <v>41518</v>
      </c>
      <c r="AR628" s="350">
        <v>97.34</v>
      </c>
      <c r="AS628" s="350">
        <v>99.88</v>
      </c>
      <c r="AT628" s="350">
        <v>95.25</v>
      </c>
    </row>
    <row r="629" spans="38:46">
      <c r="AL629" s="345">
        <v>41</v>
      </c>
      <c r="AM629" s="341" t="s">
        <v>22</v>
      </c>
      <c r="AN629" s="345">
        <v>41524</v>
      </c>
      <c r="AO629" s="341" t="s">
        <v>571</v>
      </c>
      <c r="AP629" t="s">
        <v>1697</v>
      </c>
      <c r="AQ629">
        <v>41524</v>
      </c>
      <c r="AR629" s="350">
        <v>96.1</v>
      </c>
      <c r="AS629" s="350">
        <v>97.94</v>
      </c>
      <c r="AT629" s="350">
        <v>94.49</v>
      </c>
    </row>
    <row r="630" spans="38:46">
      <c r="AL630" s="346">
        <v>41</v>
      </c>
      <c r="AM630" s="342" t="s">
        <v>22</v>
      </c>
      <c r="AN630" s="346">
        <v>41530</v>
      </c>
      <c r="AO630" s="342" t="s">
        <v>470</v>
      </c>
      <c r="AP630" t="s">
        <v>1698</v>
      </c>
      <c r="AQ630">
        <v>41530</v>
      </c>
      <c r="AR630" s="350">
        <v>93.02</v>
      </c>
      <c r="AS630" s="350">
        <v>98.15</v>
      </c>
      <c r="AT630" s="350">
        <v>91.94</v>
      </c>
    </row>
    <row r="631" spans="38:46">
      <c r="AL631" s="345">
        <v>41</v>
      </c>
      <c r="AM631" s="341" t="s">
        <v>22</v>
      </c>
      <c r="AN631" s="345">
        <v>41548</v>
      </c>
      <c r="AO631" s="341" t="s">
        <v>608</v>
      </c>
      <c r="AP631" t="s">
        <v>1699</v>
      </c>
      <c r="AQ631">
        <v>41548</v>
      </c>
      <c r="AR631" s="350">
        <v>96.07</v>
      </c>
      <c r="AS631" s="350">
        <v>99.09</v>
      </c>
      <c r="AT631" s="350">
        <v>94.16</v>
      </c>
    </row>
    <row r="632" spans="38:46">
      <c r="AL632" s="346">
        <v>41</v>
      </c>
      <c r="AM632" s="342" t="s">
        <v>22</v>
      </c>
      <c r="AN632" s="346">
        <v>41551</v>
      </c>
      <c r="AO632" s="342" t="s">
        <v>624</v>
      </c>
      <c r="AP632" t="s">
        <v>1700</v>
      </c>
      <c r="AQ632">
        <v>41551</v>
      </c>
      <c r="AR632" s="350">
        <v>96.54</v>
      </c>
      <c r="AS632" s="350">
        <v>99.2</v>
      </c>
      <c r="AT632" s="350">
        <v>91.94</v>
      </c>
    </row>
    <row r="633" spans="38:46">
      <c r="AL633" s="345">
        <v>41</v>
      </c>
      <c r="AM633" s="341" t="s">
        <v>22</v>
      </c>
      <c r="AN633" s="345">
        <v>41615</v>
      </c>
      <c r="AO633" s="341" t="s">
        <v>642</v>
      </c>
      <c r="AP633" t="s">
        <v>1701</v>
      </c>
      <c r="AQ633">
        <v>41615</v>
      </c>
      <c r="AR633" s="350">
        <v>97.69</v>
      </c>
      <c r="AS633" s="350">
        <v>99.58</v>
      </c>
      <c r="AT633" s="350">
        <v>95.41</v>
      </c>
    </row>
    <row r="634" spans="38:46">
      <c r="AL634" s="346">
        <v>41</v>
      </c>
      <c r="AM634" s="342" t="s">
        <v>22</v>
      </c>
      <c r="AN634" s="346">
        <v>41660</v>
      </c>
      <c r="AO634" s="342" t="s">
        <v>658</v>
      </c>
      <c r="AP634" t="s">
        <v>1702</v>
      </c>
      <c r="AQ634">
        <v>41660</v>
      </c>
      <c r="AR634" s="350">
        <v>88.65</v>
      </c>
      <c r="AS634" s="350">
        <v>98.32</v>
      </c>
      <c r="AT634" s="350">
        <v>86.05</v>
      </c>
    </row>
    <row r="635" spans="38:46">
      <c r="AL635" s="345">
        <v>41</v>
      </c>
      <c r="AM635" s="341" t="s">
        <v>22</v>
      </c>
      <c r="AN635" s="345">
        <v>41668</v>
      </c>
      <c r="AO635" s="341" t="s">
        <v>673</v>
      </c>
      <c r="AP635" t="s">
        <v>1703</v>
      </c>
      <c r="AQ635">
        <v>41668</v>
      </c>
      <c r="AR635" s="350">
        <v>92.92</v>
      </c>
      <c r="AS635" s="350">
        <v>99.36</v>
      </c>
      <c r="AT635" s="350">
        <v>88.85</v>
      </c>
    </row>
    <row r="636" spans="38:46">
      <c r="AL636" s="346">
        <v>41</v>
      </c>
      <c r="AM636" s="342" t="s">
        <v>22</v>
      </c>
      <c r="AN636" s="346">
        <v>41676</v>
      </c>
      <c r="AO636" s="342" t="s">
        <v>687</v>
      </c>
      <c r="AP636" t="s">
        <v>1704</v>
      </c>
      <c r="AQ636">
        <v>41676</v>
      </c>
      <c r="AR636" s="350">
        <v>90.79</v>
      </c>
      <c r="AS636" s="350">
        <v>99.02</v>
      </c>
      <c r="AT636" s="350">
        <v>87.67</v>
      </c>
    </row>
    <row r="637" spans="38:46">
      <c r="AL637" s="345">
        <v>41</v>
      </c>
      <c r="AM637" s="341" t="s">
        <v>22</v>
      </c>
      <c r="AN637" s="345">
        <v>41770</v>
      </c>
      <c r="AO637" s="341" t="s">
        <v>703</v>
      </c>
      <c r="AP637" t="s">
        <v>1705</v>
      </c>
      <c r="AQ637">
        <v>41770</v>
      </c>
      <c r="AR637" s="350">
        <v>85.52</v>
      </c>
      <c r="AS637" s="350">
        <v>98.65</v>
      </c>
      <c r="AT637" s="350">
        <v>81.52</v>
      </c>
    </row>
    <row r="638" spans="38:46">
      <c r="AL638" s="346">
        <v>41</v>
      </c>
      <c r="AM638" s="342" t="s">
        <v>22</v>
      </c>
      <c r="AN638" s="346">
        <v>41791</v>
      </c>
      <c r="AO638" s="342" t="s">
        <v>716</v>
      </c>
      <c r="AP638" t="s">
        <v>1706</v>
      </c>
      <c r="AQ638">
        <v>41791</v>
      </c>
      <c r="AR638" s="350">
        <v>94.84</v>
      </c>
      <c r="AS638" s="350">
        <v>99.19</v>
      </c>
      <c r="AT638" s="350">
        <v>92.73</v>
      </c>
    </row>
    <row r="639" spans="38:46">
      <c r="AL639" s="345">
        <v>41</v>
      </c>
      <c r="AM639" s="341" t="s">
        <v>22</v>
      </c>
      <c r="AN639" s="345">
        <v>41797</v>
      </c>
      <c r="AO639" s="341" t="s">
        <v>749</v>
      </c>
      <c r="AP639" t="s">
        <v>1707</v>
      </c>
      <c r="AQ639">
        <v>41797</v>
      </c>
      <c r="AR639" s="350">
        <v>96.83</v>
      </c>
      <c r="AS639" s="350">
        <v>99.15</v>
      </c>
      <c r="AT639" s="350">
        <v>94.1</v>
      </c>
    </row>
    <row r="640" spans="38:46">
      <c r="AL640" s="346">
        <v>41</v>
      </c>
      <c r="AM640" s="342" t="s">
        <v>22</v>
      </c>
      <c r="AN640" s="346">
        <v>41799</v>
      </c>
      <c r="AO640" s="342" t="s">
        <v>727</v>
      </c>
      <c r="AP640" t="s">
        <v>1708</v>
      </c>
      <c r="AQ640">
        <v>41799</v>
      </c>
      <c r="AR640" s="350">
        <v>94.15</v>
      </c>
      <c r="AS640" s="350">
        <v>97.73</v>
      </c>
      <c r="AT640" s="350">
        <v>90.54</v>
      </c>
    </row>
    <row r="641" spans="38:46">
      <c r="AL641" s="345">
        <v>41</v>
      </c>
      <c r="AM641" s="341" t="s">
        <v>22</v>
      </c>
      <c r="AN641" s="345">
        <v>41801</v>
      </c>
      <c r="AO641" s="341" t="s">
        <v>739</v>
      </c>
      <c r="AP641" t="s">
        <v>1709</v>
      </c>
      <c r="AQ641">
        <v>41801</v>
      </c>
      <c r="AR641" s="350">
        <v>94.62</v>
      </c>
      <c r="AS641" s="350">
        <v>99.5</v>
      </c>
      <c r="AT641" s="350">
        <v>88.4</v>
      </c>
    </row>
    <row r="642" spans="38:46">
      <c r="AL642" s="346">
        <v>41</v>
      </c>
      <c r="AM642" s="342" t="s">
        <v>22</v>
      </c>
      <c r="AN642" s="346">
        <v>41807</v>
      </c>
      <c r="AO642" s="342" t="s">
        <v>761</v>
      </c>
      <c r="AP642" t="s">
        <v>1710</v>
      </c>
      <c r="AQ642">
        <v>41807</v>
      </c>
      <c r="AR642" s="350">
        <v>94.89</v>
      </c>
      <c r="AS642" s="350">
        <v>97.72</v>
      </c>
      <c r="AT642" s="350">
        <v>93.27</v>
      </c>
    </row>
    <row r="643" spans="38:46">
      <c r="AL643" s="345">
        <v>41</v>
      </c>
      <c r="AM643" s="341" t="s">
        <v>22</v>
      </c>
      <c r="AN643" s="345">
        <v>41872</v>
      </c>
      <c r="AO643" s="341" t="s">
        <v>772</v>
      </c>
      <c r="AP643" t="s">
        <v>1711</v>
      </c>
      <c r="AQ643">
        <v>41872</v>
      </c>
      <c r="AR643" s="350">
        <v>90.97</v>
      </c>
      <c r="AS643" s="350">
        <v>97.17</v>
      </c>
      <c r="AT643" s="350">
        <v>87.54</v>
      </c>
    </row>
    <row r="644" spans="38:46">
      <c r="AL644" s="346">
        <v>41</v>
      </c>
      <c r="AM644" s="342" t="s">
        <v>22</v>
      </c>
      <c r="AN644" s="346">
        <v>41885</v>
      </c>
      <c r="AO644" s="342" t="s">
        <v>781</v>
      </c>
      <c r="AP644" t="s">
        <v>1712</v>
      </c>
      <c r="AQ644">
        <v>41885</v>
      </c>
      <c r="AR644" s="350">
        <v>97.45</v>
      </c>
      <c r="AS644" s="350">
        <v>99.53</v>
      </c>
      <c r="AT644" s="350">
        <v>86.93</v>
      </c>
    </row>
    <row r="645" spans="38:46">
      <c r="AL645" s="345">
        <v>44</v>
      </c>
      <c r="AM645" s="341" t="s">
        <v>1713</v>
      </c>
      <c r="AN645" s="345">
        <v>44001</v>
      </c>
      <c r="AO645" s="341" t="s">
        <v>341</v>
      </c>
      <c r="AP645" t="s">
        <v>1714</v>
      </c>
      <c r="AQ645">
        <v>44001</v>
      </c>
      <c r="AR645" s="350">
        <v>81.489999999999995</v>
      </c>
      <c r="AS645" s="350">
        <v>96.86</v>
      </c>
      <c r="AT645" s="350">
        <v>44.74</v>
      </c>
    </row>
    <row r="646" spans="38:46">
      <c r="AL646" s="346">
        <v>44</v>
      </c>
      <c r="AM646" s="342" t="s">
        <v>1713</v>
      </c>
      <c r="AN646" s="346">
        <v>44035</v>
      </c>
      <c r="AO646" s="342" t="s">
        <v>52</v>
      </c>
      <c r="AP646" t="s">
        <v>1715</v>
      </c>
      <c r="AQ646">
        <v>44035</v>
      </c>
      <c r="AR646" s="350">
        <v>65.260000000000005</v>
      </c>
      <c r="AS646" s="350">
        <v>79.67</v>
      </c>
      <c r="AT646" s="350">
        <v>44.72</v>
      </c>
    </row>
    <row r="647" spans="38:46">
      <c r="AL647" s="345">
        <v>44</v>
      </c>
      <c r="AM647" s="341" t="s">
        <v>1713</v>
      </c>
      <c r="AN647" s="345">
        <v>44078</v>
      </c>
      <c r="AO647" s="341" t="s">
        <v>93</v>
      </c>
      <c r="AP647" t="s">
        <v>1716</v>
      </c>
      <c r="AQ647">
        <v>44078</v>
      </c>
      <c r="AR647" s="350">
        <v>87.96</v>
      </c>
      <c r="AS647" s="350">
        <v>97.32</v>
      </c>
      <c r="AT647" s="350">
        <v>75.3</v>
      </c>
    </row>
    <row r="648" spans="38:46">
      <c r="AL648" s="346">
        <v>44</v>
      </c>
      <c r="AM648" s="342" t="s">
        <v>1713</v>
      </c>
      <c r="AN648" s="346">
        <v>44090</v>
      </c>
      <c r="AO648" s="342" t="s">
        <v>122</v>
      </c>
      <c r="AP648" t="s">
        <v>1717</v>
      </c>
      <c r="AQ648">
        <v>44090</v>
      </c>
      <c r="AR648" s="350">
        <v>65.58</v>
      </c>
      <c r="AS648" s="350">
        <v>91.15</v>
      </c>
      <c r="AT648" s="350">
        <v>61.45</v>
      </c>
    </row>
    <row r="649" spans="38:46">
      <c r="AL649" s="345">
        <v>44</v>
      </c>
      <c r="AM649" s="341" t="s">
        <v>1713</v>
      </c>
      <c r="AN649" s="345">
        <v>44098</v>
      </c>
      <c r="AO649" s="341" t="s">
        <v>153</v>
      </c>
      <c r="AP649" t="s">
        <v>1718</v>
      </c>
      <c r="AQ649">
        <v>44098</v>
      </c>
      <c r="AR649" s="350">
        <v>93.93</v>
      </c>
      <c r="AS649" s="350">
        <v>98.6</v>
      </c>
      <c r="AT649" s="350">
        <v>89.62</v>
      </c>
    </row>
    <row r="650" spans="38:46">
      <c r="AL650" s="346">
        <v>44</v>
      </c>
      <c r="AM650" s="342" t="s">
        <v>1713</v>
      </c>
      <c r="AN650" s="346">
        <v>44110</v>
      </c>
      <c r="AO650" s="342" t="s">
        <v>183</v>
      </c>
      <c r="AP650" t="s">
        <v>1719</v>
      </c>
      <c r="AQ650">
        <v>44110</v>
      </c>
      <c r="AR650" s="350">
        <v>85.27</v>
      </c>
      <c r="AS650" s="350">
        <v>92.62</v>
      </c>
      <c r="AT650" s="350">
        <v>32.049999999999997</v>
      </c>
    </row>
    <row r="651" spans="38:46">
      <c r="AL651" s="345">
        <v>44</v>
      </c>
      <c r="AM651" s="341" t="s">
        <v>1713</v>
      </c>
      <c r="AN651" s="345">
        <v>44279</v>
      </c>
      <c r="AO651" s="341" t="s">
        <v>211</v>
      </c>
      <c r="AP651" t="s">
        <v>1720</v>
      </c>
      <c r="AQ651">
        <v>44279</v>
      </c>
      <c r="AR651" s="350">
        <v>95.11</v>
      </c>
      <c r="AS651" s="350">
        <v>97.68</v>
      </c>
      <c r="AT651" s="350">
        <v>80.78</v>
      </c>
    </row>
    <row r="652" spans="38:46">
      <c r="AL652" s="346">
        <v>44</v>
      </c>
      <c r="AM652" s="342" t="s">
        <v>1713</v>
      </c>
      <c r="AN652" s="346">
        <v>44378</v>
      </c>
      <c r="AO652" s="342" t="s">
        <v>239</v>
      </c>
      <c r="AP652" t="s">
        <v>1721</v>
      </c>
      <c r="AQ652">
        <v>44378</v>
      </c>
      <c r="AR652" s="350">
        <v>82.29</v>
      </c>
      <c r="AS652" s="350">
        <v>93.43</v>
      </c>
      <c r="AT652" s="350">
        <v>62.96</v>
      </c>
    </row>
    <row r="653" spans="38:46">
      <c r="AL653" s="345">
        <v>44</v>
      </c>
      <c r="AM653" s="341" t="s">
        <v>1713</v>
      </c>
      <c r="AN653" s="345">
        <v>44420</v>
      </c>
      <c r="AO653" s="341" t="s">
        <v>266</v>
      </c>
      <c r="AP653" t="s">
        <v>1722</v>
      </c>
      <c r="AQ653">
        <v>44420</v>
      </c>
      <c r="AR653" s="350">
        <v>89.32</v>
      </c>
      <c r="AS653" s="350">
        <v>99.35</v>
      </c>
      <c r="AT653" s="350">
        <v>73.36</v>
      </c>
    </row>
    <row r="654" spans="38:46">
      <c r="AL654" s="346">
        <v>44</v>
      </c>
      <c r="AM654" s="342" t="s">
        <v>1713</v>
      </c>
      <c r="AN654" s="346">
        <v>44430</v>
      </c>
      <c r="AO654" s="342" t="s">
        <v>292</v>
      </c>
      <c r="AP654" t="s">
        <v>1723</v>
      </c>
      <c r="AQ654">
        <v>44430</v>
      </c>
      <c r="AR654" s="350">
        <v>68.040000000000006</v>
      </c>
      <c r="AS654" s="350">
        <v>95.69</v>
      </c>
      <c r="AT654" s="350">
        <v>18.010000000000002</v>
      </c>
    </row>
    <row r="655" spans="38:46">
      <c r="AL655" s="345">
        <v>44</v>
      </c>
      <c r="AM655" s="341" t="s">
        <v>1713</v>
      </c>
      <c r="AN655" s="345">
        <v>44560</v>
      </c>
      <c r="AO655" s="341" t="s">
        <v>317</v>
      </c>
      <c r="AP655" t="s">
        <v>1724</v>
      </c>
      <c r="AQ655">
        <v>44560</v>
      </c>
      <c r="AR655" s="350">
        <v>25.08</v>
      </c>
      <c r="AS655" s="350">
        <v>85.66</v>
      </c>
      <c r="AT655" s="350">
        <v>17.059999999999999</v>
      </c>
    </row>
    <row r="656" spans="38:46">
      <c r="AL656" s="346">
        <v>44</v>
      </c>
      <c r="AM656" s="342" t="s">
        <v>1713</v>
      </c>
      <c r="AN656" s="346">
        <v>44650</v>
      </c>
      <c r="AO656" s="342" t="s">
        <v>366</v>
      </c>
      <c r="AP656" t="s">
        <v>1725</v>
      </c>
      <c r="AQ656">
        <v>44650</v>
      </c>
      <c r="AR656" s="350">
        <v>79.239999999999995</v>
      </c>
      <c r="AS656" s="350">
        <v>89.21</v>
      </c>
      <c r="AT656" s="350">
        <v>61.46</v>
      </c>
    </row>
    <row r="657" spans="38:46">
      <c r="AL657" s="345">
        <v>44</v>
      </c>
      <c r="AM657" s="341" t="s">
        <v>1713</v>
      </c>
      <c r="AN657" s="345">
        <v>44847</v>
      </c>
      <c r="AO657" s="341" t="s">
        <v>389</v>
      </c>
      <c r="AP657" t="s">
        <v>1726</v>
      </c>
      <c r="AQ657">
        <v>44847</v>
      </c>
      <c r="AR657" s="350">
        <v>5.9</v>
      </c>
      <c r="AS657" s="350">
        <v>80.19</v>
      </c>
      <c r="AT657" s="350">
        <v>1.79</v>
      </c>
    </row>
    <row r="658" spans="38:46">
      <c r="AL658" s="346">
        <v>44</v>
      </c>
      <c r="AM658" s="342" t="s">
        <v>1713</v>
      </c>
      <c r="AN658" s="346">
        <v>44855</v>
      </c>
      <c r="AO658" s="342" t="s">
        <v>412</v>
      </c>
      <c r="AP658" t="s">
        <v>1727</v>
      </c>
      <c r="AQ658">
        <v>44855</v>
      </c>
      <c r="AR658" s="350">
        <v>88.79</v>
      </c>
      <c r="AS658" s="350">
        <v>97.19</v>
      </c>
      <c r="AT658" s="350">
        <v>32.85</v>
      </c>
    </row>
    <row r="659" spans="38:46">
      <c r="AL659" s="345">
        <v>44</v>
      </c>
      <c r="AM659" s="341" t="s">
        <v>1713</v>
      </c>
      <c r="AN659" s="345">
        <v>44874</v>
      </c>
      <c r="AO659" s="341" t="s">
        <v>435</v>
      </c>
      <c r="AP659" t="s">
        <v>1728</v>
      </c>
      <c r="AQ659">
        <v>44874</v>
      </c>
      <c r="AR659" s="350">
        <v>94.31</v>
      </c>
      <c r="AS659" s="350">
        <v>96.83</v>
      </c>
      <c r="AT659" s="350">
        <v>47.99</v>
      </c>
    </row>
    <row r="660" spans="38:46">
      <c r="AL660" s="346">
        <v>47</v>
      </c>
      <c r="AM660" s="342" t="s">
        <v>24</v>
      </c>
      <c r="AN660" s="346">
        <v>47001</v>
      </c>
      <c r="AO660" s="342" t="s">
        <v>643</v>
      </c>
      <c r="AP660" t="s">
        <v>1729</v>
      </c>
      <c r="AQ660">
        <v>47001</v>
      </c>
      <c r="AR660" s="350">
        <v>97.48</v>
      </c>
      <c r="AS660" s="350">
        <v>98.25</v>
      </c>
      <c r="AT660" s="350">
        <v>88.73</v>
      </c>
    </row>
    <row r="661" spans="38:46">
      <c r="AL661" s="345">
        <v>47</v>
      </c>
      <c r="AM661" s="341" t="s">
        <v>24</v>
      </c>
      <c r="AN661" s="345">
        <v>47030</v>
      </c>
      <c r="AO661" s="341" t="s">
        <v>62</v>
      </c>
      <c r="AP661" t="s">
        <v>1730</v>
      </c>
      <c r="AQ661">
        <v>47030</v>
      </c>
      <c r="AR661" s="350">
        <v>93.55</v>
      </c>
      <c r="AS661" s="350">
        <v>99.82</v>
      </c>
      <c r="AT661" s="350">
        <v>80.98</v>
      </c>
    </row>
    <row r="662" spans="38:46">
      <c r="AL662" s="346">
        <v>47</v>
      </c>
      <c r="AM662" s="342" t="s">
        <v>24</v>
      </c>
      <c r="AN662" s="346">
        <v>47053</v>
      </c>
      <c r="AO662" s="342" t="s">
        <v>94</v>
      </c>
      <c r="AP662" t="s">
        <v>1731</v>
      </c>
      <c r="AQ662">
        <v>47053</v>
      </c>
      <c r="AR662" s="350">
        <v>88.92</v>
      </c>
      <c r="AS662" s="350">
        <v>99.25</v>
      </c>
      <c r="AT662" s="350">
        <v>71.08</v>
      </c>
    </row>
    <row r="663" spans="38:46">
      <c r="AL663" s="345">
        <v>47</v>
      </c>
      <c r="AM663" s="341" t="s">
        <v>24</v>
      </c>
      <c r="AN663" s="345">
        <v>47058</v>
      </c>
      <c r="AO663" s="341" t="s">
        <v>123</v>
      </c>
      <c r="AP663" t="s">
        <v>1732</v>
      </c>
      <c r="AQ663">
        <v>47058</v>
      </c>
      <c r="AR663" s="350">
        <v>87.99</v>
      </c>
      <c r="AS663" s="350">
        <v>99.76</v>
      </c>
      <c r="AT663" s="350">
        <v>64.45</v>
      </c>
    </row>
    <row r="664" spans="38:46">
      <c r="AL664" s="346">
        <v>47</v>
      </c>
      <c r="AM664" s="342" t="s">
        <v>24</v>
      </c>
      <c r="AN664" s="346">
        <v>47161</v>
      </c>
      <c r="AO664" s="342" t="s">
        <v>154</v>
      </c>
      <c r="AP664" t="s">
        <v>1733</v>
      </c>
      <c r="AQ664">
        <v>47161</v>
      </c>
      <c r="AR664" s="350">
        <v>97.15</v>
      </c>
      <c r="AS664" s="350">
        <v>96.71</v>
      </c>
      <c r="AT664" s="350">
        <v>97.8</v>
      </c>
    </row>
    <row r="665" spans="38:46">
      <c r="AL665" s="345">
        <v>47</v>
      </c>
      <c r="AM665" s="341" t="s">
        <v>24</v>
      </c>
      <c r="AN665" s="345">
        <v>47170</v>
      </c>
      <c r="AO665" s="341" t="s">
        <v>184</v>
      </c>
      <c r="AP665" t="s">
        <v>1734</v>
      </c>
      <c r="AQ665">
        <v>47170</v>
      </c>
      <c r="AR665" s="350">
        <v>75.86</v>
      </c>
      <c r="AS665" s="350">
        <v>99.17</v>
      </c>
      <c r="AT665" s="350">
        <v>37.25</v>
      </c>
    </row>
    <row r="666" spans="38:46">
      <c r="AL666" s="346">
        <v>47</v>
      </c>
      <c r="AM666" s="342" t="s">
        <v>24</v>
      </c>
      <c r="AN666" s="346">
        <v>47189</v>
      </c>
      <c r="AO666" s="342" t="s">
        <v>212</v>
      </c>
      <c r="AP666" t="s">
        <v>1735</v>
      </c>
      <c r="AQ666">
        <v>47189</v>
      </c>
      <c r="AR666" s="350">
        <v>93.25</v>
      </c>
      <c r="AS666" s="350">
        <v>96.66</v>
      </c>
      <c r="AT666" s="350">
        <v>68.459999999999994</v>
      </c>
    </row>
    <row r="667" spans="38:46">
      <c r="AL667" s="345">
        <v>47</v>
      </c>
      <c r="AM667" s="341" t="s">
        <v>24</v>
      </c>
      <c r="AN667" s="345">
        <v>47205</v>
      </c>
      <c r="AO667" s="341" t="s">
        <v>240</v>
      </c>
      <c r="AP667" t="s">
        <v>1736</v>
      </c>
      <c r="AQ667">
        <v>47205</v>
      </c>
      <c r="AR667" s="350">
        <v>98.49</v>
      </c>
      <c r="AS667" s="350">
        <v>99.44</v>
      </c>
      <c r="AT667" s="350">
        <v>97.81</v>
      </c>
    </row>
    <row r="668" spans="38:46">
      <c r="AL668" s="346">
        <v>47</v>
      </c>
      <c r="AM668" s="342" t="s">
        <v>24</v>
      </c>
      <c r="AN668" s="346">
        <v>47245</v>
      </c>
      <c r="AO668" s="342" t="s">
        <v>267</v>
      </c>
      <c r="AP668" t="s">
        <v>1737</v>
      </c>
      <c r="AQ668">
        <v>47245</v>
      </c>
      <c r="AR668" s="350">
        <v>97.5</v>
      </c>
      <c r="AS668" s="350">
        <v>99.16</v>
      </c>
      <c r="AT668" s="350">
        <v>94.1</v>
      </c>
    </row>
    <row r="669" spans="38:46">
      <c r="AL669" s="345">
        <v>47</v>
      </c>
      <c r="AM669" s="341" t="s">
        <v>24</v>
      </c>
      <c r="AN669" s="345">
        <v>47258</v>
      </c>
      <c r="AO669" s="341" t="s">
        <v>293</v>
      </c>
      <c r="AP669" t="s">
        <v>1738</v>
      </c>
      <c r="AQ669">
        <v>47258</v>
      </c>
      <c r="AR669" s="350">
        <v>95.98</v>
      </c>
      <c r="AS669" s="350">
        <v>98.19</v>
      </c>
      <c r="AT669" s="350">
        <v>94.81</v>
      </c>
    </row>
    <row r="670" spans="38:46">
      <c r="AL670" s="346">
        <v>47</v>
      </c>
      <c r="AM670" s="342" t="s">
        <v>24</v>
      </c>
      <c r="AN670" s="346">
        <v>47268</v>
      </c>
      <c r="AO670" s="342" t="s">
        <v>318</v>
      </c>
      <c r="AP670" t="s">
        <v>1739</v>
      </c>
      <c r="AQ670">
        <v>47268</v>
      </c>
      <c r="AR670" s="350">
        <v>97.06</v>
      </c>
      <c r="AS670" s="350">
        <v>99.45</v>
      </c>
      <c r="AT670" s="350">
        <v>87.82</v>
      </c>
    </row>
    <row r="671" spans="38:46">
      <c r="AL671" s="345">
        <v>47</v>
      </c>
      <c r="AM671" s="341" t="s">
        <v>24</v>
      </c>
      <c r="AN671" s="345">
        <v>47288</v>
      </c>
      <c r="AO671" s="341" t="s">
        <v>342</v>
      </c>
      <c r="AP671" t="s">
        <v>1740</v>
      </c>
      <c r="AQ671">
        <v>47288</v>
      </c>
      <c r="AR671" s="350">
        <v>90.22</v>
      </c>
      <c r="AS671" s="350">
        <v>99.37</v>
      </c>
      <c r="AT671" s="350">
        <v>24.24</v>
      </c>
    </row>
    <row r="672" spans="38:46">
      <c r="AL672" s="346">
        <v>47</v>
      </c>
      <c r="AM672" s="342" t="s">
        <v>24</v>
      </c>
      <c r="AN672" s="346">
        <v>47318</v>
      </c>
      <c r="AO672" s="342" t="s">
        <v>367</v>
      </c>
      <c r="AP672" t="s">
        <v>1741</v>
      </c>
      <c r="AQ672">
        <v>47318</v>
      </c>
      <c r="AR672" s="350">
        <v>92.52</v>
      </c>
      <c r="AS672" s="350">
        <v>98.58</v>
      </c>
      <c r="AT672" s="350">
        <v>89.27</v>
      </c>
    </row>
    <row r="673" spans="38:46">
      <c r="AL673" s="345">
        <v>47</v>
      </c>
      <c r="AM673" s="341" t="s">
        <v>24</v>
      </c>
      <c r="AN673" s="345">
        <v>47460</v>
      </c>
      <c r="AO673" s="341" t="s">
        <v>390</v>
      </c>
      <c r="AP673" t="s">
        <v>1742</v>
      </c>
      <c r="AQ673">
        <v>47460</v>
      </c>
      <c r="AR673" s="350">
        <v>85.18</v>
      </c>
      <c r="AS673" s="350">
        <v>99.44</v>
      </c>
      <c r="AT673" s="350">
        <v>73.56</v>
      </c>
    </row>
    <row r="674" spans="38:46">
      <c r="AL674" s="346">
        <v>47</v>
      </c>
      <c r="AM674" s="342" t="s">
        <v>24</v>
      </c>
      <c r="AN674" s="346">
        <v>47541</v>
      </c>
      <c r="AO674" s="342" t="s">
        <v>413</v>
      </c>
      <c r="AP674" t="s">
        <v>1743</v>
      </c>
      <c r="AQ674">
        <v>47541</v>
      </c>
      <c r="AR674" s="350">
        <v>98.15</v>
      </c>
      <c r="AS674" s="350">
        <v>99.68</v>
      </c>
      <c r="AT674" s="350">
        <v>97.43</v>
      </c>
    </row>
    <row r="675" spans="38:46">
      <c r="AL675" s="345">
        <v>47</v>
      </c>
      <c r="AM675" s="341" t="s">
        <v>24</v>
      </c>
      <c r="AN675" s="345">
        <v>47545</v>
      </c>
      <c r="AO675" s="341" t="s">
        <v>436</v>
      </c>
      <c r="AP675" t="s">
        <v>1744</v>
      </c>
      <c r="AQ675">
        <v>47545</v>
      </c>
      <c r="AR675" s="350">
        <v>74.05</v>
      </c>
      <c r="AS675" s="350">
        <v>96.33</v>
      </c>
      <c r="AT675" s="350">
        <v>50.62</v>
      </c>
    </row>
    <row r="676" spans="38:46">
      <c r="AL676" s="346">
        <v>47</v>
      </c>
      <c r="AM676" s="342" t="s">
        <v>24</v>
      </c>
      <c r="AN676" s="346">
        <v>47551</v>
      </c>
      <c r="AO676" s="342" t="s">
        <v>458</v>
      </c>
      <c r="AP676" t="s">
        <v>1745</v>
      </c>
      <c r="AQ676">
        <v>47551</v>
      </c>
      <c r="AR676" s="350">
        <v>88.15</v>
      </c>
      <c r="AS676" s="350">
        <v>99.01</v>
      </c>
      <c r="AT676" s="350">
        <v>71.55</v>
      </c>
    </row>
    <row r="677" spans="38:46">
      <c r="AL677" s="345">
        <v>47</v>
      </c>
      <c r="AM677" s="341" t="s">
        <v>24</v>
      </c>
      <c r="AN677" s="345">
        <v>47555</v>
      </c>
      <c r="AO677" s="341" t="s">
        <v>478</v>
      </c>
      <c r="AP677" t="s">
        <v>1746</v>
      </c>
      <c r="AQ677">
        <v>47555</v>
      </c>
      <c r="AR677" s="350">
        <v>89.81</v>
      </c>
      <c r="AS677" s="350">
        <v>99.46</v>
      </c>
      <c r="AT677" s="350">
        <v>59.33</v>
      </c>
    </row>
    <row r="678" spans="38:46">
      <c r="AL678" s="346">
        <v>47</v>
      </c>
      <c r="AM678" s="342" t="s">
        <v>24</v>
      </c>
      <c r="AN678" s="346">
        <v>47570</v>
      </c>
      <c r="AO678" s="342" t="s">
        <v>498</v>
      </c>
      <c r="AP678" t="s">
        <v>1747</v>
      </c>
      <c r="AQ678">
        <v>47570</v>
      </c>
      <c r="AR678" s="350">
        <v>98.54</v>
      </c>
      <c r="AS678" s="350">
        <v>99.43</v>
      </c>
      <c r="AT678" s="350">
        <v>98.11</v>
      </c>
    </row>
    <row r="679" spans="38:46">
      <c r="AL679" s="345">
        <v>47</v>
      </c>
      <c r="AM679" s="341" t="s">
        <v>24</v>
      </c>
      <c r="AN679" s="345">
        <v>47605</v>
      </c>
      <c r="AO679" s="341" t="s">
        <v>518</v>
      </c>
      <c r="AP679" t="s">
        <v>1748</v>
      </c>
      <c r="AQ679">
        <v>47605</v>
      </c>
      <c r="AR679" s="350">
        <v>91.78</v>
      </c>
      <c r="AS679" s="350">
        <v>99.85</v>
      </c>
      <c r="AT679" s="350">
        <v>79.260000000000005</v>
      </c>
    </row>
    <row r="680" spans="38:46">
      <c r="AL680" s="346">
        <v>47</v>
      </c>
      <c r="AM680" s="342" t="s">
        <v>24</v>
      </c>
      <c r="AN680" s="346">
        <v>47660</v>
      </c>
      <c r="AO680" s="342" t="s">
        <v>536</v>
      </c>
      <c r="AP680" t="s">
        <v>1749</v>
      </c>
      <c r="AQ680">
        <v>47660</v>
      </c>
      <c r="AR680" s="350">
        <v>73.36</v>
      </c>
      <c r="AS680" s="350">
        <v>99.53</v>
      </c>
      <c r="AT680" s="350">
        <v>61.41</v>
      </c>
    </row>
    <row r="681" spans="38:46">
      <c r="AL681" s="345">
        <v>47</v>
      </c>
      <c r="AM681" s="341" t="s">
        <v>24</v>
      </c>
      <c r="AN681" s="345">
        <v>47675</v>
      </c>
      <c r="AO681" s="341" t="s">
        <v>548</v>
      </c>
      <c r="AP681" t="s">
        <v>1750</v>
      </c>
      <c r="AQ681">
        <v>47675</v>
      </c>
      <c r="AR681" s="350">
        <v>96.57</v>
      </c>
      <c r="AS681" s="350">
        <v>98.41</v>
      </c>
      <c r="AT681" s="350">
        <v>92.41</v>
      </c>
    </row>
    <row r="682" spans="38:46">
      <c r="AL682" s="346">
        <v>47</v>
      </c>
      <c r="AM682" s="342" t="s">
        <v>24</v>
      </c>
      <c r="AN682" s="346">
        <v>47692</v>
      </c>
      <c r="AO682" s="342" t="s">
        <v>572</v>
      </c>
      <c r="AP682" t="s">
        <v>1751</v>
      </c>
      <c r="AQ682">
        <v>47692</v>
      </c>
      <c r="AR682" s="350">
        <v>95.41</v>
      </c>
      <c r="AS682" s="350">
        <v>98.1</v>
      </c>
      <c r="AT682" s="350">
        <v>94.07</v>
      </c>
    </row>
    <row r="683" spans="38:46">
      <c r="AL683" s="345">
        <v>47</v>
      </c>
      <c r="AM683" s="341" t="s">
        <v>24</v>
      </c>
      <c r="AN683" s="345">
        <v>47703</v>
      </c>
      <c r="AO683" s="341" t="s">
        <v>592</v>
      </c>
      <c r="AP683" t="s">
        <v>1752</v>
      </c>
      <c r="AQ683">
        <v>47703</v>
      </c>
      <c r="AR683" s="350">
        <v>94.63</v>
      </c>
      <c r="AS683" s="350">
        <v>99.46</v>
      </c>
      <c r="AT683" s="350">
        <v>93.82</v>
      </c>
    </row>
    <row r="684" spans="38:46">
      <c r="AL684" s="346">
        <v>47</v>
      </c>
      <c r="AM684" s="342" t="s">
        <v>24</v>
      </c>
      <c r="AN684" s="346">
        <v>47707</v>
      </c>
      <c r="AO684" s="342" t="s">
        <v>609</v>
      </c>
      <c r="AP684" t="s">
        <v>1753</v>
      </c>
      <c r="AQ684">
        <v>47707</v>
      </c>
      <c r="AR684" s="350">
        <v>82.38</v>
      </c>
      <c r="AS684" s="350">
        <v>99.18</v>
      </c>
      <c r="AT684" s="350">
        <v>60.52</v>
      </c>
    </row>
    <row r="685" spans="38:46">
      <c r="AL685" s="345">
        <v>47</v>
      </c>
      <c r="AM685" s="341" t="s">
        <v>24</v>
      </c>
      <c r="AN685" s="345">
        <v>47720</v>
      </c>
      <c r="AO685" s="341" t="s">
        <v>625</v>
      </c>
      <c r="AP685" t="s">
        <v>1754</v>
      </c>
      <c r="AQ685">
        <v>47720</v>
      </c>
      <c r="AR685" s="350">
        <v>80.81</v>
      </c>
      <c r="AS685" s="350">
        <v>98.98</v>
      </c>
      <c r="AT685" s="350">
        <v>50.53</v>
      </c>
    </row>
    <row r="686" spans="38:46">
      <c r="AL686" s="346">
        <v>47</v>
      </c>
      <c r="AM686" s="342" t="s">
        <v>24</v>
      </c>
      <c r="AN686" s="346">
        <v>47745</v>
      </c>
      <c r="AO686" s="342" t="s">
        <v>659</v>
      </c>
      <c r="AP686" t="s">
        <v>1755</v>
      </c>
      <c r="AQ686">
        <v>47745</v>
      </c>
      <c r="AR686" s="350">
        <v>94.95</v>
      </c>
      <c r="AS686" s="350">
        <v>99.24</v>
      </c>
      <c r="AT686" s="350">
        <v>90.12</v>
      </c>
    </row>
    <row r="687" spans="38:46">
      <c r="AL687" s="345">
        <v>47</v>
      </c>
      <c r="AM687" s="341" t="s">
        <v>24</v>
      </c>
      <c r="AN687" s="345">
        <v>47798</v>
      </c>
      <c r="AO687" s="341" t="s">
        <v>674</v>
      </c>
      <c r="AP687" t="s">
        <v>1756</v>
      </c>
      <c r="AQ687">
        <v>47798</v>
      </c>
      <c r="AR687" s="350">
        <v>85.7</v>
      </c>
      <c r="AS687" s="350">
        <v>95.48</v>
      </c>
      <c r="AT687" s="350">
        <v>75</v>
      </c>
    </row>
    <row r="688" spans="38:46">
      <c r="AL688" s="346">
        <v>47</v>
      </c>
      <c r="AM688" s="342" t="s">
        <v>24</v>
      </c>
      <c r="AN688" s="346">
        <v>47960</v>
      </c>
      <c r="AO688" s="342" t="s">
        <v>688</v>
      </c>
      <c r="AP688" t="s">
        <v>1757</v>
      </c>
      <c r="AQ688">
        <v>47960</v>
      </c>
      <c r="AR688" s="350">
        <v>92.05</v>
      </c>
      <c r="AS688" s="350">
        <v>99.02</v>
      </c>
      <c r="AT688" s="350">
        <v>87.14</v>
      </c>
    </row>
    <row r="689" spans="38:46">
      <c r="AL689" s="345">
        <v>47</v>
      </c>
      <c r="AM689" s="341" t="s">
        <v>24</v>
      </c>
      <c r="AN689" s="345">
        <v>47980</v>
      </c>
      <c r="AO689" s="341" t="s">
        <v>704</v>
      </c>
      <c r="AP689" t="s">
        <v>1758</v>
      </c>
      <c r="AQ689">
        <v>47980</v>
      </c>
      <c r="AR689" s="350">
        <v>98.46</v>
      </c>
      <c r="AS689" s="350">
        <v>96.84</v>
      </c>
      <c r="AT689" s="350">
        <v>98.58</v>
      </c>
    </row>
    <row r="690" spans="38:46">
      <c r="AL690" s="346">
        <v>50</v>
      </c>
      <c r="AM690" s="342" t="s">
        <v>25</v>
      </c>
      <c r="AN690" s="346">
        <v>50001</v>
      </c>
      <c r="AO690" s="342" t="s">
        <v>675</v>
      </c>
      <c r="AP690" t="s">
        <v>1759</v>
      </c>
      <c r="AQ690">
        <v>50001</v>
      </c>
      <c r="AR690" s="350">
        <v>99.11</v>
      </c>
      <c r="AS690" s="350">
        <v>99.32</v>
      </c>
      <c r="AT690" s="350">
        <v>96.15</v>
      </c>
    </row>
    <row r="691" spans="38:46">
      <c r="AL691" s="345">
        <v>50</v>
      </c>
      <c r="AM691" s="341" t="s">
        <v>25</v>
      </c>
      <c r="AN691" s="345">
        <v>50006</v>
      </c>
      <c r="AO691" s="341" t="s">
        <v>63</v>
      </c>
      <c r="AP691" t="s">
        <v>1760</v>
      </c>
      <c r="AQ691">
        <v>50006</v>
      </c>
      <c r="AR691" s="350">
        <v>98.09</v>
      </c>
      <c r="AS691" s="350">
        <v>99.52</v>
      </c>
      <c r="AT691" s="350">
        <v>91.83</v>
      </c>
    </row>
    <row r="692" spans="38:46">
      <c r="AL692" s="346">
        <v>50</v>
      </c>
      <c r="AM692" s="342" t="s">
        <v>25</v>
      </c>
      <c r="AN692" s="346">
        <v>50110</v>
      </c>
      <c r="AO692" s="342" t="s">
        <v>95</v>
      </c>
      <c r="AP692" t="s">
        <v>1761</v>
      </c>
      <c r="AQ692">
        <v>50110</v>
      </c>
      <c r="AR692" s="350">
        <v>92.76</v>
      </c>
      <c r="AS692" s="350">
        <v>97.06</v>
      </c>
      <c r="AT692" s="350">
        <v>81.709999999999994</v>
      </c>
    </row>
    <row r="693" spans="38:46">
      <c r="AL693" s="345">
        <v>50</v>
      </c>
      <c r="AM693" s="341" t="s">
        <v>25</v>
      </c>
      <c r="AN693" s="345">
        <v>50124</v>
      </c>
      <c r="AO693" s="341" t="s">
        <v>124</v>
      </c>
      <c r="AP693" t="s">
        <v>1762</v>
      </c>
      <c r="AQ693">
        <v>50124</v>
      </c>
      <c r="AR693" s="350">
        <v>90.8</v>
      </c>
      <c r="AS693" s="350">
        <v>98.74</v>
      </c>
      <c r="AT693" s="350">
        <v>81.16</v>
      </c>
    </row>
    <row r="694" spans="38:46">
      <c r="AL694" s="346">
        <v>50</v>
      </c>
      <c r="AM694" s="342" t="s">
        <v>25</v>
      </c>
      <c r="AN694" s="346">
        <v>50150</v>
      </c>
      <c r="AO694" s="342" t="s">
        <v>155</v>
      </c>
      <c r="AP694" t="s">
        <v>1763</v>
      </c>
      <c r="AQ694">
        <v>50150</v>
      </c>
      <c r="AR694" s="350">
        <v>96.34</v>
      </c>
      <c r="AS694" s="350">
        <v>95.92</v>
      </c>
      <c r="AT694" s="350">
        <v>96.72</v>
      </c>
    </row>
    <row r="695" spans="38:46">
      <c r="AL695" s="345">
        <v>50</v>
      </c>
      <c r="AM695" s="341" t="s">
        <v>25</v>
      </c>
      <c r="AN695" s="345">
        <v>50223</v>
      </c>
      <c r="AO695" s="341" t="s">
        <v>185</v>
      </c>
      <c r="AP695" t="s">
        <v>1764</v>
      </c>
      <c r="AQ695">
        <v>50223</v>
      </c>
      <c r="AR695" s="350">
        <v>93.6</v>
      </c>
      <c r="AS695" s="350">
        <v>99.04</v>
      </c>
      <c r="AT695" s="350">
        <v>81.59</v>
      </c>
    </row>
    <row r="696" spans="38:46">
      <c r="AL696" s="346">
        <v>50</v>
      </c>
      <c r="AM696" s="342" t="s">
        <v>25</v>
      </c>
      <c r="AN696" s="346">
        <v>50226</v>
      </c>
      <c r="AO696" s="342" t="s">
        <v>213</v>
      </c>
      <c r="AP696" t="s">
        <v>1765</v>
      </c>
      <c r="AQ696">
        <v>50226</v>
      </c>
      <c r="AR696" s="350">
        <v>97.49</v>
      </c>
      <c r="AS696" s="350">
        <v>98.41</v>
      </c>
      <c r="AT696" s="350">
        <v>95.67</v>
      </c>
    </row>
    <row r="697" spans="38:46">
      <c r="AL697" s="345">
        <v>50</v>
      </c>
      <c r="AM697" s="341" t="s">
        <v>25</v>
      </c>
      <c r="AN697" s="345">
        <v>50245</v>
      </c>
      <c r="AO697" s="341" t="s">
        <v>241</v>
      </c>
      <c r="AP697" t="s">
        <v>1766</v>
      </c>
      <c r="AQ697">
        <v>50245</v>
      </c>
      <c r="AR697" s="350">
        <v>89.06</v>
      </c>
      <c r="AS697" s="350">
        <v>97.55</v>
      </c>
      <c r="AT697" s="350">
        <v>85.1</v>
      </c>
    </row>
    <row r="698" spans="38:46">
      <c r="AL698" s="346">
        <v>50</v>
      </c>
      <c r="AM698" s="342" t="s">
        <v>25</v>
      </c>
      <c r="AN698" s="346">
        <v>50251</v>
      </c>
      <c r="AO698" s="342" t="s">
        <v>268</v>
      </c>
      <c r="AP698" t="s">
        <v>1767</v>
      </c>
      <c r="AQ698">
        <v>50251</v>
      </c>
      <c r="AR698" s="350">
        <v>86.5</v>
      </c>
      <c r="AS698" s="350">
        <v>96.65</v>
      </c>
      <c r="AT698" s="350">
        <v>80.06</v>
      </c>
    </row>
    <row r="699" spans="38:46">
      <c r="AL699" s="345">
        <v>50</v>
      </c>
      <c r="AM699" s="341" t="s">
        <v>25</v>
      </c>
      <c r="AN699" s="345">
        <v>50270</v>
      </c>
      <c r="AO699" s="341" t="s">
        <v>294</v>
      </c>
      <c r="AP699" t="s">
        <v>1768</v>
      </c>
      <c r="AQ699">
        <v>50270</v>
      </c>
      <c r="AR699" s="350">
        <v>93</v>
      </c>
      <c r="AS699" s="350">
        <v>97.66</v>
      </c>
      <c r="AT699" s="350">
        <v>90.26</v>
      </c>
    </row>
    <row r="700" spans="38:46">
      <c r="AL700" s="346">
        <v>50</v>
      </c>
      <c r="AM700" s="342" t="s">
        <v>25</v>
      </c>
      <c r="AN700" s="346">
        <v>50287</v>
      </c>
      <c r="AO700" s="342" t="s">
        <v>319</v>
      </c>
      <c r="AP700" t="s">
        <v>1769</v>
      </c>
      <c r="AQ700">
        <v>50287</v>
      </c>
      <c r="AR700" s="350">
        <v>95.44</v>
      </c>
      <c r="AS700" s="350">
        <v>98.87</v>
      </c>
      <c r="AT700" s="350">
        <v>90.74</v>
      </c>
    </row>
    <row r="701" spans="38:46">
      <c r="AL701" s="345">
        <v>50</v>
      </c>
      <c r="AM701" s="341" t="s">
        <v>25</v>
      </c>
      <c r="AN701" s="345">
        <v>50313</v>
      </c>
      <c r="AO701" s="341" t="s">
        <v>343</v>
      </c>
      <c r="AP701" t="s">
        <v>1770</v>
      </c>
      <c r="AQ701">
        <v>50313</v>
      </c>
      <c r="AR701" s="350">
        <v>97.26</v>
      </c>
      <c r="AS701" s="350">
        <v>97.66</v>
      </c>
      <c r="AT701" s="350">
        <v>94.9</v>
      </c>
    </row>
    <row r="702" spans="38:46">
      <c r="AL702" s="346">
        <v>50</v>
      </c>
      <c r="AM702" s="342" t="s">
        <v>25</v>
      </c>
      <c r="AN702" s="346">
        <v>50318</v>
      </c>
      <c r="AO702" s="342" t="s">
        <v>367</v>
      </c>
      <c r="AP702" t="s">
        <v>1771</v>
      </c>
      <c r="AQ702">
        <v>50318</v>
      </c>
      <c r="AR702" s="350">
        <v>96.86</v>
      </c>
      <c r="AS702" s="350">
        <v>98.97</v>
      </c>
      <c r="AT702" s="350">
        <v>92.24</v>
      </c>
    </row>
    <row r="703" spans="38:46">
      <c r="AL703" s="345">
        <v>50</v>
      </c>
      <c r="AM703" s="341" t="s">
        <v>25</v>
      </c>
      <c r="AN703" s="345">
        <v>50325</v>
      </c>
      <c r="AO703" s="341" t="s">
        <v>437</v>
      </c>
      <c r="AP703" t="s">
        <v>1772</v>
      </c>
      <c r="AQ703">
        <v>50325</v>
      </c>
      <c r="AR703" s="350">
        <v>35.68</v>
      </c>
      <c r="AS703" s="350">
        <v>88.74</v>
      </c>
      <c r="AT703" s="350">
        <v>1.34</v>
      </c>
    </row>
    <row r="704" spans="38:46">
      <c r="AL704" s="346">
        <v>50</v>
      </c>
      <c r="AM704" s="342" t="s">
        <v>25</v>
      </c>
      <c r="AN704" s="346">
        <v>50330</v>
      </c>
      <c r="AO704" s="342" t="s">
        <v>459</v>
      </c>
      <c r="AP704" t="s">
        <v>1773</v>
      </c>
      <c r="AQ704">
        <v>50330</v>
      </c>
      <c r="AR704" s="350">
        <v>79.55</v>
      </c>
      <c r="AS704" s="350">
        <v>98.72</v>
      </c>
      <c r="AT704" s="350">
        <v>66.02</v>
      </c>
    </row>
    <row r="705" spans="38:46">
      <c r="AL705" s="345">
        <v>50</v>
      </c>
      <c r="AM705" s="341" t="s">
        <v>25</v>
      </c>
      <c r="AN705" s="345">
        <v>50350</v>
      </c>
      <c r="AO705" s="341" t="s">
        <v>391</v>
      </c>
      <c r="AP705" t="s">
        <v>1774</v>
      </c>
      <c r="AQ705">
        <v>50350</v>
      </c>
      <c r="AR705" s="350">
        <v>30.62</v>
      </c>
      <c r="AS705" s="350">
        <v>94.47</v>
      </c>
      <c r="AT705" s="350">
        <v>16.940000000000001</v>
      </c>
    </row>
    <row r="706" spans="38:46">
      <c r="AL706" s="346">
        <v>50</v>
      </c>
      <c r="AM706" s="342" t="s">
        <v>25</v>
      </c>
      <c r="AN706" s="346">
        <v>50370</v>
      </c>
      <c r="AO706" s="342" t="s">
        <v>660</v>
      </c>
      <c r="AP706" t="s">
        <v>1775</v>
      </c>
      <c r="AQ706">
        <v>50370</v>
      </c>
      <c r="AR706" s="350">
        <v>47.09</v>
      </c>
      <c r="AS706" s="350">
        <v>97.1</v>
      </c>
      <c r="AT706" s="350">
        <v>35.090000000000003</v>
      </c>
    </row>
    <row r="707" spans="38:46">
      <c r="AL707" s="345">
        <v>50</v>
      </c>
      <c r="AM707" s="341" t="s">
        <v>25</v>
      </c>
      <c r="AN707" s="345">
        <v>50400</v>
      </c>
      <c r="AO707" s="341" t="s">
        <v>414</v>
      </c>
      <c r="AP707" t="s">
        <v>1776</v>
      </c>
      <c r="AQ707">
        <v>50400</v>
      </c>
      <c r="AR707" s="350">
        <v>86.71</v>
      </c>
      <c r="AS707" s="350">
        <v>98.54</v>
      </c>
      <c r="AT707" s="350">
        <v>78.16</v>
      </c>
    </row>
    <row r="708" spans="38:46">
      <c r="AL708" s="346">
        <v>50</v>
      </c>
      <c r="AM708" s="342" t="s">
        <v>25</v>
      </c>
      <c r="AN708" s="346">
        <v>50450</v>
      </c>
      <c r="AO708" s="342" t="s">
        <v>479</v>
      </c>
      <c r="AP708" t="s">
        <v>1777</v>
      </c>
      <c r="AQ708">
        <v>50450</v>
      </c>
      <c r="AR708" s="350">
        <v>56.94</v>
      </c>
      <c r="AS708" s="350">
        <v>97.64</v>
      </c>
      <c r="AT708" s="350">
        <v>29.97</v>
      </c>
    </row>
    <row r="709" spans="38:46">
      <c r="AL709" s="345">
        <v>50</v>
      </c>
      <c r="AM709" s="341" t="s">
        <v>25</v>
      </c>
      <c r="AN709" s="345">
        <v>50568</v>
      </c>
      <c r="AO709" s="341" t="s">
        <v>499</v>
      </c>
      <c r="AP709" t="s">
        <v>1778</v>
      </c>
      <c r="AQ709">
        <v>50568</v>
      </c>
      <c r="AR709" s="350">
        <v>69.989999999999995</v>
      </c>
      <c r="AS709" s="350">
        <v>98.45</v>
      </c>
      <c r="AT709" s="350">
        <v>32.92</v>
      </c>
    </row>
    <row r="710" spans="38:46">
      <c r="AL710" s="346">
        <v>50</v>
      </c>
      <c r="AM710" s="342" t="s">
        <v>25</v>
      </c>
      <c r="AN710" s="346">
        <v>50573</v>
      </c>
      <c r="AO710" s="342" t="s">
        <v>537</v>
      </c>
      <c r="AP710" t="s">
        <v>1779</v>
      </c>
      <c r="AQ710">
        <v>50573</v>
      </c>
      <c r="AR710" s="350">
        <v>93.96</v>
      </c>
      <c r="AS710" s="350">
        <v>98.26</v>
      </c>
      <c r="AT710" s="350">
        <v>85.46</v>
      </c>
    </row>
    <row r="711" spans="38:46">
      <c r="AL711" s="345">
        <v>50</v>
      </c>
      <c r="AM711" s="341" t="s">
        <v>25</v>
      </c>
      <c r="AN711" s="345">
        <v>50577</v>
      </c>
      <c r="AO711" s="341" t="s">
        <v>519</v>
      </c>
      <c r="AP711" t="s">
        <v>1780</v>
      </c>
      <c r="AQ711">
        <v>50577</v>
      </c>
      <c r="AR711" s="350">
        <v>70.849999999999994</v>
      </c>
      <c r="AS711" s="350">
        <v>95.88</v>
      </c>
      <c r="AT711" s="350">
        <v>53.29</v>
      </c>
    </row>
    <row r="712" spans="38:46">
      <c r="AL712" s="346">
        <v>50</v>
      </c>
      <c r="AM712" s="342" t="s">
        <v>25</v>
      </c>
      <c r="AN712" s="346">
        <v>50590</v>
      </c>
      <c r="AO712" s="342" t="s">
        <v>334</v>
      </c>
      <c r="AP712" t="s">
        <v>1781</v>
      </c>
      <c r="AQ712">
        <v>50590</v>
      </c>
      <c r="AR712" s="350">
        <v>55.07</v>
      </c>
      <c r="AS712" s="350">
        <v>96.49</v>
      </c>
      <c r="AT712" s="350">
        <v>14.09</v>
      </c>
    </row>
    <row r="713" spans="38:46">
      <c r="AL713" s="345">
        <v>50</v>
      </c>
      <c r="AM713" s="341" t="s">
        <v>25</v>
      </c>
      <c r="AN713" s="345">
        <v>50606</v>
      </c>
      <c r="AO713" s="341" t="s">
        <v>573</v>
      </c>
      <c r="AP713" t="s">
        <v>1782</v>
      </c>
      <c r="AQ713">
        <v>50606</v>
      </c>
      <c r="AR713" s="350">
        <v>98.62</v>
      </c>
      <c r="AS713" s="350">
        <v>99.6</v>
      </c>
      <c r="AT713" s="350">
        <v>96.49</v>
      </c>
    </row>
    <row r="714" spans="38:46">
      <c r="AL714" s="346">
        <v>50</v>
      </c>
      <c r="AM714" s="342" t="s">
        <v>25</v>
      </c>
      <c r="AN714" s="346">
        <v>50680</v>
      </c>
      <c r="AO714" s="342" t="s">
        <v>593</v>
      </c>
      <c r="AP714" t="s">
        <v>1783</v>
      </c>
      <c r="AQ714">
        <v>50680</v>
      </c>
      <c r="AR714" s="350">
        <v>94.66</v>
      </c>
      <c r="AS714" s="350">
        <v>97.24</v>
      </c>
      <c r="AT714" s="350">
        <v>91.73</v>
      </c>
    </row>
    <row r="715" spans="38:46">
      <c r="AL715" s="345">
        <v>50</v>
      </c>
      <c r="AM715" s="341" t="s">
        <v>25</v>
      </c>
      <c r="AN715" s="345">
        <v>50683</v>
      </c>
      <c r="AO715" s="341" t="s">
        <v>610</v>
      </c>
      <c r="AP715" t="s">
        <v>1784</v>
      </c>
      <c r="AQ715">
        <v>50683</v>
      </c>
      <c r="AR715" s="350">
        <v>85.76</v>
      </c>
      <c r="AS715" s="350">
        <v>96.73</v>
      </c>
      <c r="AT715" s="350">
        <v>75.31</v>
      </c>
    </row>
    <row r="716" spans="38:46">
      <c r="AL716" s="346">
        <v>50</v>
      </c>
      <c r="AM716" s="342" t="s">
        <v>25</v>
      </c>
      <c r="AN716" s="346">
        <v>50686</v>
      </c>
      <c r="AO716" s="342" t="s">
        <v>626</v>
      </c>
      <c r="AP716" t="s">
        <v>1785</v>
      </c>
      <c r="AQ716">
        <v>50686</v>
      </c>
      <c r="AR716" s="350">
        <v>85.96</v>
      </c>
      <c r="AS716" s="350">
        <v>91.04</v>
      </c>
      <c r="AT716" s="350">
        <v>79.05</v>
      </c>
    </row>
    <row r="717" spans="38:46">
      <c r="AL717" s="345">
        <v>50</v>
      </c>
      <c r="AM717" s="341" t="s">
        <v>25</v>
      </c>
      <c r="AN717" s="345">
        <v>50689</v>
      </c>
      <c r="AO717" s="341" t="s">
        <v>588</v>
      </c>
      <c r="AP717" t="s">
        <v>1786</v>
      </c>
      <c r="AQ717">
        <v>50689</v>
      </c>
      <c r="AR717" s="350">
        <v>94.86</v>
      </c>
      <c r="AS717" s="350">
        <v>98.71</v>
      </c>
      <c r="AT717" s="350">
        <v>81.55</v>
      </c>
    </row>
    <row r="718" spans="38:46">
      <c r="AL718" s="346">
        <v>50</v>
      </c>
      <c r="AM718" s="342" t="s">
        <v>25</v>
      </c>
      <c r="AN718" s="346">
        <v>50711</v>
      </c>
      <c r="AO718" s="342" t="s">
        <v>689</v>
      </c>
      <c r="AP718" t="s">
        <v>1787</v>
      </c>
      <c r="AQ718">
        <v>50711</v>
      </c>
      <c r="AR718" s="350">
        <v>68.39</v>
      </c>
      <c r="AS718" s="350">
        <v>98.09</v>
      </c>
      <c r="AT718" s="350">
        <v>46.13</v>
      </c>
    </row>
    <row r="719" spans="38:46">
      <c r="AL719" s="345">
        <v>52</v>
      </c>
      <c r="AM719" s="341" t="s">
        <v>26</v>
      </c>
      <c r="AN719" s="345">
        <v>52001</v>
      </c>
      <c r="AO719" s="341" t="s">
        <v>841</v>
      </c>
      <c r="AP719" t="s">
        <v>1788</v>
      </c>
      <c r="AQ719">
        <v>52001</v>
      </c>
      <c r="AR719" s="350">
        <v>99.7</v>
      </c>
      <c r="AS719" s="350">
        <v>99.84</v>
      </c>
      <c r="AT719" s="350">
        <v>99.09</v>
      </c>
    </row>
    <row r="720" spans="38:46">
      <c r="AL720" s="346">
        <v>52</v>
      </c>
      <c r="AM720" s="342" t="s">
        <v>26</v>
      </c>
      <c r="AN720" s="346">
        <v>52019</v>
      </c>
      <c r="AO720" s="342" t="s">
        <v>64</v>
      </c>
      <c r="AP720" t="s">
        <v>1789</v>
      </c>
      <c r="AQ720">
        <v>52019</v>
      </c>
      <c r="AR720" s="350">
        <v>98.43</v>
      </c>
      <c r="AS720" s="350">
        <v>99.58</v>
      </c>
      <c r="AT720" s="350">
        <v>97.96</v>
      </c>
    </row>
    <row r="721" spans="38:46">
      <c r="AL721" s="345">
        <v>52</v>
      </c>
      <c r="AM721" s="341" t="s">
        <v>26</v>
      </c>
      <c r="AN721" s="345">
        <v>52022</v>
      </c>
      <c r="AO721" s="341" t="s">
        <v>96</v>
      </c>
      <c r="AP721" t="s">
        <v>1790</v>
      </c>
      <c r="AQ721">
        <v>52022</v>
      </c>
      <c r="AR721" s="350">
        <v>98.56</v>
      </c>
      <c r="AS721" s="350">
        <v>100</v>
      </c>
      <c r="AT721" s="350">
        <v>98.16</v>
      </c>
    </row>
    <row r="722" spans="38:46">
      <c r="AL722" s="346">
        <v>52</v>
      </c>
      <c r="AM722" s="342" t="s">
        <v>26</v>
      </c>
      <c r="AN722" s="346">
        <v>52036</v>
      </c>
      <c r="AO722" s="342" t="s">
        <v>125</v>
      </c>
      <c r="AP722" t="s">
        <v>1791</v>
      </c>
      <c r="AQ722">
        <v>52036</v>
      </c>
      <c r="AR722" s="350">
        <v>98.44</v>
      </c>
      <c r="AS722" s="350">
        <v>99.09</v>
      </c>
      <c r="AT722" s="350">
        <v>98.18</v>
      </c>
    </row>
    <row r="723" spans="38:46">
      <c r="AL723" s="345">
        <v>52</v>
      </c>
      <c r="AM723" s="341" t="s">
        <v>26</v>
      </c>
      <c r="AN723" s="345">
        <v>52051</v>
      </c>
      <c r="AO723" s="341" t="s">
        <v>156</v>
      </c>
      <c r="AP723" t="s">
        <v>1792</v>
      </c>
      <c r="AQ723">
        <v>52051</v>
      </c>
      <c r="AR723" s="350">
        <v>96.93</v>
      </c>
      <c r="AS723" s="350">
        <v>98.22</v>
      </c>
      <c r="AT723" s="350">
        <v>96.68</v>
      </c>
    </row>
    <row r="724" spans="38:46">
      <c r="AL724" s="346">
        <v>52</v>
      </c>
      <c r="AM724" s="342" t="s">
        <v>26</v>
      </c>
      <c r="AN724" s="346">
        <v>52079</v>
      </c>
      <c r="AO724" s="342" t="s">
        <v>186</v>
      </c>
      <c r="AP724" t="s">
        <v>1793</v>
      </c>
      <c r="AQ724">
        <v>52079</v>
      </c>
      <c r="AR724" s="350">
        <v>60.82</v>
      </c>
      <c r="AS724" s="350">
        <v>93.04</v>
      </c>
      <c r="AT724" s="350">
        <v>43.95</v>
      </c>
    </row>
    <row r="725" spans="38:46">
      <c r="AL725" s="345">
        <v>52</v>
      </c>
      <c r="AM725" s="341" t="s">
        <v>26</v>
      </c>
      <c r="AN725" s="345">
        <v>52083</v>
      </c>
      <c r="AO725" s="341" t="s">
        <v>142</v>
      </c>
      <c r="AP725" t="s">
        <v>1794</v>
      </c>
      <c r="AQ725">
        <v>52083</v>
      </c>
      <c r="AR725" s="350">
        <v>99.61</v>
      </c>
      <c r="AS725" s="350">
        <v>99.87</v>
      </c>
      <c r="AT725" s="350">
        <v>99.35</v>
      </c>
    </row>
    <row r="726" spans="38:46">
      <c r="AL726" s="346">
        <v>52</v>
      </c>
      <c r="AM726" s="342" t="s">
        <v>26</v>
      </c>
      <c r="AN726" s="346">
        <v>52110</v>
      </c>
      <c r="AO726" s="342" t="s">
        <v>242</v>
      </c>
      <c r="AP726" t="s">
        <v>1795</v>
      </c>
      <c r="AQ726">
        <v>52110</v>
      </c>
      <c r="AR726" s="350">
        <v>98.17</v>
      </c>
      <c r="AS726" s="350">
        <v>99.33</v>
      </c>
      <c r="AT726" s="350">
        <v>97.72</v>
      </c>
    </row>
    <row r="727" spans="38:46">
      <c r="AL727" s="345">
        <v>52</v>
      </c>
      <c r="AM727" s="341" t="s">
        <v>26</v>
      </c>
      <c r="AN727" s="345">
        <v>52203</v>
      </c>
      <c r="AO727" s="341" t="s">
        <v>66</v>
      </c>
      <c r="AP727" t="s">
        <v>1796</v>
      </c>
      <c r="AQ727">
        <v>52203</v>
      </c>
      <c r="AR727" s="350">
        <v>98.65</v>
      </c>
      <c r="AS727" s="350">
        <v>99.42</v>
      </c>
      <c r="AT727" s="350">
        <v>98.53</v>
      </c>
    </row>
    <row r="728" spans="38:46">
      <c r="AL728" s="346">
        <v>52</v>
      </c>
      <c r="AM728" s="342" t="s">
        <v>26</v>
      </c>
      <c r="AN728" s="346">
        <v>52207</v>
      </c>
      <c r="AO728" s="342" t="s">
        <v>320</v>
      </c>
      <c r="AP728" t="s">
        <v>1797</v>
      </c>
      <c r="AQ728">
        <v>52207</v>
      </c>
      <c r="AR728" s="350">
        <v>98.52</v>
      </c>
      <c r="AS728" s="350">
        <v>99.51</v>
      </c>
      <c r="AT728" s="350">
        <v>98.28</v>
      </c>
    </row>
    <row r="729" spans="38:46">
      <c r="AL729" s="345">
        <v>52</v>
      </c>
      <c r="AM729" s="341" t="s">
        <v>26</v>
      </c>
      <c r="AN729" s="345">
        <v>52210</v>
      </c>
      <c r="AO729" s="341" t="s">
        <v>344</v>
      </c>
      <c r="AP729" t="s">
        <v>1798</v>
      </c>
      <c r="AQ729">
        <v>52210</v>
      </c>
      <c r="AR729" s="350">
        <v>97.42</v>
      </c>
      <c r="AS729" s="350">
        <v>98.63</v>
      </c>
      <c r="AT729" s="350">
        <v>97.11</v>
      </c>
    </row>
    <row r="730" spans="38:46">
      <c r="AL730" s="346">
        <v>52</v>
      </c>
      <c r="AM730" s="342" t="s">
        <v>26</v>
      </c>
      <c r="AN730" s="346">
        <v>52215</v>
      </c>
      <c r="AO730" s="342" t="s">
        <v>18</v>
      </c>
      <c r="AP730" t="s">
        <v>1799</v>
      </c>
      <c r="AQ730">
        <v>52215</v>
      </c>
      <c r="AR730" s="350">
        <v>96.48</v>
      </c>
      <c r="AS730" s="350">
        <v>99.6</v>
      </c>
      <c r="AT730" s="350">
        <v>95.6</v>
      </c>
    </row>
    <row r="731" spans="38:46">
      <c r="AL731" s="345">
        <v>52</v>
      </c>
      <c r="AM731" s="341" t="s">
        <v>26</v>
      </c>
      <c r="AN731" s="345">
        <v>52224</v>
      </c>
      <c r="AO731" s="341" t="s">
        <v>392</v>
      </c>
      <c r="AP731" t="s">
        <v>1800</v>
      </c>
      <c r="AQ731">
        <v>52224</v>
      </c>
      <c r="AR731" s="350">
        <v>96.47</v>
      </c>
      <c r="AS731" s="350">
        <v>99.71</v>
      </c>
      <c r="AT731" s="350">
        <v>95.09</v>
      </c>
    </row>
    <row r="732" spans="38:46">
      <c r="AL732" s="346">
        <v>52</v>
      </c>
      <c r="AM732" s="342" t="s">
        <v>26</v>
      </c>
      <c r="AN732" s="346">
        <v>52227</v>
      </c>
      <c r="AO732" s="342" t="s">
        <v>415</v>
      </c>
      <c r="AP732" t="s">
        <v>1801</v>
      </c>
      <c r="AQ732">
        <v>52227</v>
      </c>
      <c r="AR732" s="350">
        <v>90.87</v>
      </c>
      <c r="AS732" s="350">
        <v>99.17</v>
      </c>
      <c r="AT732" s="350">
        <v>88.7</v>
      </c>
    </row>
    <row r="733" spans="38:46">
      <c r="AL733" s="345">
        <v>52</v>
      </c>
      <c r="AM733" s="341" t="s">
        <v>26</v>
      </c>
      <c r="AN733" s="345">
        <v>52233</v>
      </c>
      <c r="AO733" s="341" t="s">
        <v>438</v>
      </c>
      <c r="AP733" t="s">
        <v>1802</v>
      </c>
      <c r="AQ733">
        <v>52233</v>
      </c>
      <c r="AR733" s="350">
        <v>94.84</v>
      </c>
      <c r="AS733" s="350">
        <v>99.78</v>
      </c>
      <c r="AT733" s="350">
        <v>92.92</v>
      </c>
    </row>
    <row r="734" spans="38:46">
      <c r="AL734" s="346">
        <v>52</v>
      </c>
      <c r="AM734" s="342" t="s">
        <v>26</v>
      </c>
      <c r="AN734" s="346">
        <v>52240</v>
      </c>
      <c r="AO734" s="342" t="s">
        <v>269</v>
      </c>
      <c r="AP734" t="s">
        <v>1803</v>
      </c>
      <c r="AQ734">
        <v>52240</v>
      </c>
      <c r="AR734" s="350">
        <v>97.16</v>
      </c>
      <c r="AS734" s="350">
        <v>98.58</v>
      </c>
      <c r="AT734" s="350">
        <v>96.43</v>
      </c>
    </row>
    <row r="735" spans="38:46">
      <c r="AL735" s="345">
        <v>52</v>
      </c>
      <c r="AM735" s="341" t="s">
        <v>26</v>
      </c>
      <c r="AN735" s="345">
        <v>52250</v>
      </c>
      <c r="AO735" s="341" t="s">
        <v>460</v>
      </c>
      <c r="AP735" t="s">
        <v>1804</v>
      </c>
      <c r="AQ735">
        <v>52250</v>
      </c>
      <c r="AR735" s="350">
        <v>55.74</v>
      </c>
      <c r="AS735" s="350">
        <v>99.11</v>
      </c>
      <c r="AT735" s="350">
        <v>34.729999999999997</v>
      </c>
    </row>
    <row r="736" spans="38:46">
      <c r="AL736" s="346">
        <v>52</v>
      </c>
      <c r="AM736" s="342" t="s">
        <v>26</v>
      </c>
      <c r="AN736" s="346">
        <v>52254</v>
      </c>
      <c r="AO736" s="342" t="s">
        <v>480</v>
      </c>
      <c r="AP736" t="s">
        <v>1805</v>
      </c>
      <c r="AQ736">
        <v>52254</v>
      </c>
      <c r="AR736" s="350">
        <v>96.89</v>
      </c>
      <c r="AS736" s="350">
        <v>99.45</v>
      </c>
      <c r="AT736" s="350">
        <v>96.31</v>
      </c>
    </row>
    <row r="737" spans="38:46">
      <c r="AL737" s="345">
        <v>52</v>
      </c>
      <c r="AM737" s="341" t="s">
        <v>26</v>
      </c>
      <c r="AN737" s="345">
        <v>52256</v>
      </c>
      <c r="AO737" s="341" t="s">
        <v>500</v>
      </c>
      <c r="AP737" t="s">
        <v>1806</v>
      </c>
      <c r="AQ737">
        <v>52256</v>
      </c>
      <c r="AR737" s="350">
        <v>98</v>
      </c>
      <c r="AS737" s="350">
        <v>98.93</v>
      </c>
      <c r="AT737" s="350">
        <v>97.75</v>
      </c>
    </row>
    <row r="738" spans="38:46">
      <c r="AL738" s="346">
        <v>52</v>
      </c>
      <c r="AM738" s="342" t="s">
        <v>26</v>
      </c>
      <c r="AN738" s="346">
        <v>52258</v>
      </c>
      <c r="AO738" s="342" t="s">
        <v>520</v>
      </c>
      <c r="AP738" t="s">
        <v>1807</v>
      </c>
      <c r="AQ738">
        <v>52258</v>
      </c>
      <c r="AR738" s="350">
        <v>86.86</v>
      </c>
      <c r="AS738" s="350">
        <v>99.63</v>
      </c>
      <c r="AT738" s="350">
        <v>85.28</v>
      </c>
    </row>
    <row r="739" spans="38:46">
      <c r="AL739" s="345">
        <v>52</v>
      </c>
      <c r="AM739" s="341" t="s">
        <v>26</v>
      </c>
      <c r="AN739" s="345">
        <v>52260</v>
      </c>
      <c r="AO739" s="341" t="s">
        <v>311</v>
      </c>
      <c r="AP739" t="s">
        <v>1808</v>
      </c>
      <c r="AQ739">
        <v>52260</v>
      </c>
      <c r="AR739" s="350">
        <v>98.43</v>
      </c>
      <c r="AS739" s="350">
        <v>99.43</v>
      </c>
      <c r="AT739" s="350">
        <v>97.83</v>
      </c>
    </row>
    <row r="740" spans="38:46">
      <c r="AL740" s="346">
        <v>52</v>
      </c>
      <c r="AM740" s="342" t="s">
        <v>26</v>
      </c>
      <c r="AN740" s="346">
        <v>52287</v>
      </c>
      <c r="AO740" s="342" t="s">
        <v>574</v>
      </c>
      <c r="AP740" t="s">
        <v>1809</v>
      </c>
      <c r="AQ740">
        <v>52287</v>
      </c>
      <c r="AR740" s="350">
        <v>97.03</v>
      </c>
      <c r="AS740" s="350">
        <v>98.71</v>
      </c>
      <c r="AT740" s="350">
        <v>95.8</v>
      </c>
    </row>
    <row r="741" spans="38:46">
      <c r="AL741" s="345">
        <v>52</v>
      </c>
      <c r="AM741" s="341" t="s">
        <v>26</v>
      </c>
      <c r="AN741" s="345">
        <v>52317</v>
      </c>
      <c r="AO741" s="341" t="s">
        <v>594</v>
      </c>
      <c r="AP741" t="s">
        <v>1810</v>
      </c>
      <c r="AQ741">
        <v>52317</v>
      </c>
      <c r="AR741" s="350">
        <v>96.59</v>
      </c>
      <c r="AS741" s="350">
        <v>99.1</v>
      </c>
      <c r="AT741" s="350">
        <v>95.99</v>
      </c>
    </row>
    <row r="742" spans="38:46">
      <c r="AL742" s="346">
        <v>52</v>
      </c>
      <c r="AM742" s="342" t="s">
        <v>26</v>
      </c>
      <c r="AN742" s="346">
        <v>52320</v>
      </c>
      <c r="AO742" s="342" t="s">
        <v>611</v>
      </c>
      <c r="AP742" t="s">
        <v>1811</v>
      </c>
      <c r="AQ742">
        <v>52320</v>
      </c>
      <c r="AR742" s="350">
        <v>98.72</v>
      </c>
      <c r="AS742" s="350">
        <v>99.7</v>
      </c>
      <c r="AT742" s="350">
        <v>98.13</v>
      </c>
    </row>
    <row r="743" spans="38:46">
      <c r="AL743" s="345">
        <v>52</v>
      </c>
      <c r="AM743" s="341" t="s">
        <v>26</v>
      </c>
      <c r="AN743" s="345">
        <v>52323</v>
      </c>
      <c r="AO743" s="341" t="s">
        <v>627</v>
      </c>
      <c r="AP743" t="s">
        <v>1812</v>
      </c>
      <c r="AQ743">
        <v>52323</v>
      </c>
      <c r="AR743" s="350">
        <v>97.6</v>
      </c>
      <c r="AS743" s="350">
        <v>98.85</v>
      </c>
      <c r="AT743" s="350">
        <v>96.52</v>
      </c>
    </row>
    <row r="744" spans="38:46">
      <c r="AL744" s="346">
        <v>52</v>
      </c>
      <c r="AM744" s="342" t="s">
        <v>26</v>
      </c>
      <c r="AN744" s="346">
        <v>52352</v>
      </c>
      <c r="AO744" s="342" t="s">
        <v>644</v>
      </c>
      <c r="AP744" t="s">
        <v>1813</v>
      </c>
      <c r="AQ744">
        <v>52352</v>
      </c>
      <c r="AR744" s="350">
        <v>95.48</v>
      </c>
      <c r="AS744" s="350">
        <v>98.86</v>
      </c>
      <c r="AT744" s="350">
        <v>94.25</v>
      </c>
    </row>
    <row r="745" spans="38:46">
      <c r="AL745" s="345">
        <v>52</v>
      </c>
      <c r="AM745" s="341" t="s">
        <v>26</v>
      </c>
      <c r="AN745" s="345">
        <v>52354</v>
      </c>
      <c r="AO745" s="341" t="s">
        <v>661</v>
      </c>
      <c r="AP745" t="s">
        <v>1814</v>
      </c>
      <c r="AQ745">
        <v>52354</v>
      </c>
      <c r="AR745" s="350">
        <v>97.73</v>
      </c>
      <c r="AS745" s="350">
        <v>99.68</v>
      </c>
      <c r="AT745" s="350">
        <v>97.38</v>
      </c>
    </row>
    <row r="746" spans="38:46">
      <c r="AL746" s="346">
        <v>52</v>
      </c>
      <c r="AM746" s="342" t="s">
        <v>26</v>
      </c>
      <c r="AN746" s="346">
        <v>52356</v>
      </c>
      <c r="AO746" s="342" t="s">
        <v>676</v>
      </c>
      <c r="AP746" t="s">
        <v>1815</v>
      </c>
      <c r="AQ746">
        <v>52356</v>
      </c>
      <c r="AR746" s="350">
        <v>97.93</v>
      </c>
      <c r="AS746" s="350">
        <v>99.73</v>
      </c>
      <c r="AT746" s="350">
        <v>94.03</v>
      </c>
    </row>
    <row r="747" spans="38:46">
      <c r="AL747" s="345">
        <v>52</v>
      </c>
      <c r="AM747" s="341" t="s">
        <v>26</v>
      </c>
      <c r="AN747" s="345">
        <v>52378</v>
      </c>
      <c r="AO747" s="341" t="s">
        <v>690</v>
      </c>
      <c r="AP747" t="s">
        <v>1816</v>
      </c>
      <c r="AQ747">
        <v>52378</v>
      </c>
      <c r="AR747" s="350">
        <v>99.47</v>
      </c>
      <c r="AS747" s="350">
        <v>99.69</v>
      </c>
      <c r="AT747" s="350">
        <v>99.31</v>
      </c>
    </row>
    <row r="748" spans="38:46">
      <c r="AL748" s="346">
        <v>52</v>
      </c>
      <c r="AM748" s="342" t="s">
        <v>26</v>
      </c>
      <c r="AN748" s="346">
        <v>52381</v>
      </c>
      <c r="AO748" s="342" t="s">
        <v>705</v>
      </c>
      <c r="AP748" t="s">
        <v>1817</v>
      </c>
      <c r="AQ748">
        <v>52381</v>
      </c>
      <c r="AR748" s="350">
        <v>97.39</v>
      </c>
      <c r="AS748" s="350">
        <v>98.94</v>
      </c>
      <c r="AT748" s="350">
        <v>97.03</v>
      </c>
    </row>
    <row r="749" spans="38:46">
      <c r="AL749" s="345">
        <v>52</v>
      </c>
      <c r="AM749" s="341" t="s">
        <v>26</v>
      </c>
      <c r="AN749" s="345">
        <v>52385</v>
      </c>
      <c r="AO749" s="341" t="s">
        <v>717</v>
      </c>
      <c r="AP749" t="s">
        <v>1818</v>
      </c>
      <c r="AQ749">
        <v>52385</v>
      </c>
      <c r="AR749" s="350">
        <v>97.02</v>
      </c>
      <c r="AS749" s="350">
        <v>99.06</v>
      </c>
      <c r="AT749" s="350">
        <v>94.65</v>
      </c>
    </row>
    <row r="750" spans="38:46">
      <c r="AL750" s="346">
        <v>52</v>
      </c>
      <c r="AM750" s="342" t="s">
        <v>26</v>
      </c>
      <c r="AN750" s="346">
        <v>52390</v>
      </c>
      <c r="AO750" s="342" t="s">
        <v>728</v>
      </c>
      <c r="AP750" t="s">
        <v>1819</v>
      </c>
      <c r="AQ750">
        <v>52390</v>
      </c>
      <c r="AR750" s="350">
        <v>86.68</v>
      </c>
      <c r="AS750" s="350">
        <v>98.86</v>
      </c>
      <c r="AT750" s="350">
        <v>75.52</v>
      </c>
    </row>
    <row r="751" spans="38:46">
      <c r="AL751" s="345">
        <v>52</v>
      </c>
      <c r="AM751" s="341" t="s">
        <v>26</v>
      </c>
      <c r="AN751" s="345">
        <v>52399</v>
      </c>
      <c r="AO751" s="341" t="s">
        <v>325</v>
      </c>
      <c r="AP751" t="s">
        <v>1820</v>
      </c>
      <c r="AQ751">
        <v>52399</v>
      </c>
      <c r="AR751" s="350">
        <v>98.57</v>
      </c>
      <c r="AS751" s="350">
        <v>99.54</v>
      </c>
      <c r="AT751" s="350">
        <v>97.87</v>
      </c>
    </row>
    <row r="752" spans="38:46">
      <c r="AL752" s="346">
        <v>52</v>
      </c>
      <c r="AM752" s="342" t="s">
        <v>26</v>
      </c>
      <c r="AN752" s="346">
        <v>52405</v>
      </c>
      <c r="AO752" s="342" t="s">
        <v>750</v>
      </c>
      <c r="AP752" t="s">
        <v>1821</v>
      </c>
      <c r="AQ752">
        <v>52405</v>
      </c>
      <c r="AR752" s="350">
        <v>86.23</v>
      </c>
      <c r="AS752" s="350">
        <v>99.07</v>
      </c>
      <c r="AT752" s="350">
        <v>80.28</v>
      </c>
    </row>
    <row r="753" spans="38:46">
      <c r="AL753" s="345">
        <v>52</v>
      </c>
      <c r="AM753" s="341" t="s">
        <v>26</v>
      </c>
      <c r="AN753" s="345">
        <v>52411</v>
      </c>
      <c r="AO753" s="341" t="s">
        <v>762</v>
      </c>
      <c r="AP753" t="s">
        <v>1822</v>
      </c>
      <c r="AQ753">
        <v>52411</v>
      </c>
      <c r="AR753" s="350">
        <v>98.18</v>
      </c>
      <c r="AS753" s="350">
        <v>99.84</v>
      </c>
      <c r="AT753" s="350">
        <v>97.72</v>
      </c>
    </row>
    <row r="754" spans="38:46">
      <c r="AL754" s="346">
        <v>52</v>
      </c>
      <c r="AM754" s="342" t="s">
        <v>26</v>
      </c>
      <c r="AN754" s="346">
        <v>52418</v>
      </c>
      <c r="AO754" s="342" t="s">
        <v>773</v>
      </c>
      <c r="AP754" t="s">
        <v>1823</v>
      </c>
      <c r="AQ754">
        <v>52418</v>
      </c>
      <c r="AR754" s="350">
        <v>96.45</v>
      </c>
      <c r="AS754" s="350">
        <v>99.85</v>
      </c>
      <c r="AT754" s="350">
        <v>93.31</v>
      </c>
    </row>
    <row r="755" spans="38:46">
      <c r="AL755" s="345">
        <v>52</v>
      </c>
      <c r="AM755" s="341" t="s">
        <v>26</v>
      </c>
      <c r="AN755" s="345">
        <v>52427</v>
      </c>
      <c r="AO755" s="341" t="s">
        <v>782</v>
      </c>
      <c r="AP755" t="s">
        <v>1824</v>
      </c>
      <c r="AQ755">
        <v>52427</v>
      </c>
      <c r="AR755" s="350">
        <v>54.34</v>
      </c>
      <c r="AS755" s="350">
        <v>96.93</v>
      </c>
      <c r="AT755" s="350">
        <v>26.54</v>
      </c>
    </row>
    <row r="756" spans="38:46">
      <c r="AL756" s="346">
        <v>52</v>
      </c>
      <c r="AM756" s="342" t="s">
        <v>26</v>
      </c>
      <c r="AN756" s="346">
        <v>52435</v>
      </c>
      <c r="AO756" s="342" t="s">
        <v>792</v>
      </c>
      <c r="AP756" t="s">
        <v>1825</v>
      </c>
      <c r="AQ756">
        <v>52435</v>
      </c>
      <c r="AR756" s="350">
        <v>96.26</v>
      </c>
      <c r="AS756" s="350">
        <v>100</v>
      </c>
      <c r="AT756" s="350">
        <v>95.57</v>
      </c>
    </row>
    <row r="757" spans="38:46">
      <c r="AL757" s="345">
        <v>52</v>
      </c>
      <c r="AM757" s="341" t="s">
        <v>26</v>
      </c>
      <c r="AN757" s="345">
        <v>52473</v>
      </c>
      <c r="AO757" s="341" t="s">
        <v>802</v>
      </c>
      <c r="AP757" t="s">
        <v>1826</v>
      </c>
      <c r="AQ757">
        <v>52473</v>
      </c>
      <c r="AR757" s="350">
        <v>37.15</v>
      </c>
      <c r="AS757" s="350">
        <v>77.989999999999995</v>
      </c>
      <c r="AT757" s="350">
        <v>3.7</v>
      </c>
    </row>
    <row r="758" spans="38:46">
      <c r="AL758" s="346">
        <v>52</v>
      </c>
      <c r="AM758" s="342" t="s">
        <v>26</v>
      </c>
      <c r="AN758" s="346">
        <v>52480</v>
      </c>
      <c r="AO758" s="342" t="s">
        <v>26</v>
      </c>
      <c r="AP758" t="s">
        <v>1827</v>
      </c>
      <c r="AQ758">
        <v>52480</v>
      </c>
      <c r="AR758" s="350">
        <v>98.9</v>
      </c>
      <c r="AS758" s="350">
        <v>99.25</v>
      </c>
      <c r="AT758" s="350">
        <v>98.16</v>
      </c>
    </row>
    <row r="759" spans="38:46">
      <c r="AL759" s="345">
        <v>52</v>
      </c>
      <c r="AM759" s="341" t="s">
        <v>26</v>
      </c>
      <c r="AN759" s="345">
        <v>52490</v>
      </c>
      <c r="AO759" s="341" t="s">
        <v>823</v>
      </c>
      <c r="AP759" t="s">
        <v>1828</v>
      </c>
      <c r="AQ759">
        <v>52490</v>
      </c>
      <c r="AR759" s="350">
        <v>42.35</v>
      </c>
      <c r="AS759" s="350">
        <v>83.73</v>
      </c>
      <c r="AT759" s="350">
        <v>8.1300000000000008</v>
      </c>
    </row>
    <row r="760" spans="38:46">
      <c r="AL760" s="346">
        <v>52</v>
      </c>
      <c r="AM760" s="342" t="s">
        <v>26</v>
      </c>
      <c r="AN760" s="346">
        <v>52506</v>
      </c>
      <c r="AO760" s="342" t="s">
        <v>833</v>
      </c>
      <c r="AP760" t="s">
        <v>1829</v>
      </c>
      <c r="AQ760">
        <v>52506</v>
      </c>
      <c r="AR760" s="350">
        <v>98.74</v>
      </c>
      <c r="AS760" s="350">
        <v>99.21</v>
      </c>
      <c r="AT760" s="350">
        <v>98.54</v>
      </c>
    </row>
    <row r="761" spans="38:46">
      <c r="AL761" s="345">
        <v>52</v>
      </c>
      <c r="AM761" s="341" t="s">
        <v>26</v>
      </c>
      <c r="AN761" s="345">
        <v>52520</v>
      </c>
      <c r="AO761" s="341" t="s">
        <v>555</v>
      </c>
      <c r="AP761" t="s">
        <v>1830</v>
      </c>
      <c r="AQ761">
        <v>52520</v>
      </c>
      <c r="AR761" s="350">
        <v>66.92</v>
      </c>
      <c r="AS761" s="350">
        <v>93.92</v>
      </c>
      <c r="AT761" s="350">
        <v>26.35</v>
      </c>
    </row>
    <row r="762" spans="38:46">
      <c r="AL762" s="346">
        <v>52</v>
      </c>
      <c r="AM762" s="342" t="s">
        <v>26</v>
      </c>
      <c r="AN762" s="346">
        <v>52540</v>
      </c>
      <c r="AO762" s="342" t="s">
        <v>848</v>
      </c>
      <c r="AP762" t="s">
        <v>1831</v>
      </c>
      <c r="AQ762">
        <v>52540</v>
      </c>
      <c r="AR762" s="350">
        <v>98.97</v>
      </c>
      <c r="AS762" s="350">
        <v>100</v>
      </c>
      <c r="AT762" s="350">
        <v>98.52</v>
      </c>
    </row>
    <row r="763" spans="38:46">
      <c r="AL763" s="345">
        <v>52</v>
      </c>
      <c r="AM763" s="341" t="s">
        <v>26</v>
      </c>
      <c r="AN763" s="345">
        <v>52560</v>
      </c>
      <c r="AO763" s="341" t="s">
        <v>855</v>
      </c>
      <c r="AP763" t="s">
        <v>1832</v>
      </c>
      <c r="AQ763">
        <v>52560</v>
      </c>
      <c r="AR763" s="350">
        <v>99.38</v>
      </c>
      <c r="AS763" s="350">
        <v>99.71</v>
      </c>
      <c r="AT763" s="350">
        <v>99.29</v>
      </c>
    </row>
    <row r="764" spans="38:46">
      <c r="AL764" s="346">
        <v>52</v>
      </c>
      <c r="AM764" s="342" t="s">
        <v>26</v>
      </c>
      <c r="AN764" s="346">
        <v>52565</v>
      </c>
      <c r="AO764" s="342" t="s">
        <v>46</v>
      </c>
      <c r="AP764" t="s">
        <v>1833</v>
      </c>
      <c r="AQ764">
        <v>52565</v>
      </c>
      <c r="AR764" s="350">
        <v>97.7</v>
      </c>
      <c r="AS764" s="350">
        <v>98.25</v>
      </c>
      <c r="AT764" s="350">
        <v>97.47</v>
      </c>
    </row>
    <row r="765" spans="38:46">
      <c r="AL765" s="345">
        <v>52</v>
      </c>
      <c r="AM765" s="341" t="s">
        <v>26</v>
      </c>
      <c r="AN765" s="345">
        <v>52573</v>
      </c>
      <c r="AO765" s="341" t="s">
        <v>868</v>
      </c>
      <c r="AP765" t="s">
        <v>1834</v>
      </c>
      <c r="AQ765">
        <v>52573</v>
      </c>
      <c r="AR765" s="350">
        <v>98.19</v>
      </c>
      <c r="AS765" s="350">
        <v>100</v>
      </c>
      <c r="AT765" s="350">
        <v>97.05</v>
      </c>
    </row>
    <row r="766" spans="38:46">
      <c r="AL766" s="346">
        <v>52</v>
      </c>
      <c r="AM766" s="342" t="s">
        <v>26</v>
      </c>
      <c r="AN766" s="346">
        <v>52585</v>
      </c>
      <c r="AO766" s="342" t="s">
        <v>874</v>
      </c>
      <c r="AP766" t="s">
        <v>1835</v>
      </c>
      <c r="AQ766">
        <v>52585</v>
      </c>
      <c r="AR766" s="350">
        <v>99.17</v>
      </c>
      <c r="AS766" s="350">
        <v>99.55</v>
      </c>
      <c r="AT766" s="350">
        <v>98.98</v>
      </c>
    </row>
    <row r="767" spans="38:46">
      <c r="AL767" s="345">
        <v>52</v>
      </c>
      <c r="AM767" s="341" t="s">
        <v>26</v>
      </c>
      <c r="AN767" s="345">
        <v>52612</v>
      </c>
      <c r="AO767" s="341" t="s">
        <v>880</v>
      </c>
      <c r="AP767" t="s">
        <v>1836</v>
      </c>
      <c r="AQ767">
        <v>52612</v>
      </c>
      <c r="AR767" s="350">
        <v>58.87</v>
      </c>
      <c r="AS767" s="350">
        <v>98.24</v>
      </c>
      <c r="AT767" s="350">
        <v>52.52</v>
      </c>
    </row>
    <row r="768" spans="38:46">
      <c r="AL768" s="346">
        <v>52</v>
      </c>
      <c r="AM768" s="342" t="s">
        <v>26</v>
      </c>
      <c r="AN768" s="346">
        <v>52621</v>
      </c>
      <c r="AO768" s="342" t="s">
        <v>886</v>
      </c>
      <c r="AP768" t="s">
        <v>1837</v>
      </c>
      <c r="AQ768">
        <v>52621</v>
      </c>
      <c r="AR768" s="350">
        <v>39.67</v>
      </c>
      <c r="AS768" s="350">
        <v>95.88</v>
      </c>
      <c r="AT768" s="350">
        <v>23.99</v>
      </c>
    </row>
    <row r="769" spans="38:46">
      <c r="AL769" s="345">
        <v>52</v>
      </c>
      <c r="AM769" s="341" t="s">
        <v>26</v>
      </c>
      <c r="AN769" s="345">
        <v>52678</v>
      </c>
      <c r="AO769" s="341" t="s">
        <v>892</v>
      </c>
      <c r="AP769" t="s">
        <v>1838</v>
      </c>
      <c r="AQ769">
        <v>52678</v>
      </c>
      <c r="AR769" s="350">
        <v>87.35</v>
      </c>
      <c r="AS769" s="350">
        <v>99.06</v>
      </c>
      <c r="AT769" s="350">
        <v>80.900000000000006</v>
      </c>
    </row>
    <row r="770" spans="38:46">
      <c r="AL770" s="346">
        <v>52</v>
      </c>
      <c r="AM770" s="342" t="s">
        <v>26</v>
      </c>
      <c r="AN770" s="346">
        <v>52683</v>
      </c>
      <c r="AO770" s="342" t="s">
        <v>923</v>
      </c>
      <c r="AP770" t="s">
        <v>1839</v>
      </c>
      <c r="AQ770">
        <v>52683</v>
      </c>
      <c r="AR770" s="350">
        <v>99.14</v>
      </c>
      <c r="AS770" s="350">
        <v>99.69</v>
      </c>
      <c r="AT770" s="350">
        <v>98.64</v>
      </c>
    </row>
    <row r="771" spans="38:46">
      <c r="AL771" s="345">
        <v>52</v>
      </c>
      <c r="AM771" s="341" t="s">
        <v>26</v>
      </c>
      <c r="AN771" s="345">
        <v>52685</v>
      </c>
      <c r="AO771" s="341" t="s">
        <v>900</v>
      </c>
      <c r="AP771" t="s">
        <v>1840</v>
      </c>
      <c r="AQ771">
        <v>52685</v>
      </c>
      <c r="AR771" s="350">
        <v>98.05</v>
      </c>
      <c r="AS771" s="350">
        <v>99.61</v>
      </c>
      <c r="AT771" s="350">
        <v>97.33</v>
      </c>
    </row>
    <row r="772" spans="38:46">
      <c r="AL772" s="346">
        <v>52</v>
      </c>
      <c r="AM772" s="342" t="s">
        <v>26</v>
      </c>
      <c r="AN772" s="346">
        <v>52687</v>
      </c>
      <c r="AO772" s="342" t="s">
        <v>906</v>
      </c>
      <c r="AP772" t="s">
        <v>1841</v>
      </c>
      <c r="AQ772">
        <v>52687</v>
      </c>
      <c r="AR772" s="350">
        <v>97.72</v>
      </c>
      <c r="AS772" s="350">
        <v>99.48</v>
      </c>
      <c r="AT772" s="350">
        <v>97.48</v>
      </c>
    </row>
    <row r="773" spans="38:46">
      <c r="AL773" s="345">
        <v>52</v>
      </c>
      <c r="AM773" s="341" t="s">
        <v>26</v>
      </c>
      <c r="AN773" s="345">
        <v>52693</v>
      </c>
      <c r="AO773" s="341" t="s">
        <v>745</v>
      </c>
      <c r="AP773" t="s">
        <v>1842</v>
      </c>
      <c r="AQ773">
        <v>52693</v>
      </c>
      <c r="AR773" s="350">
        <v>98.32</v>
      </c>
      <c r="AS773" s="350">
        <v>99.63</v>
      </c>
      <c r="AT773" s="350">
        <v>97.78</v>
      </c>
    </row>
    <row r="774" spans="38:46">
      <c r="AL774" s="346">
        <v>52</v>
      </c>
      <c r="AM774" s="342" t="s">
        <v>26</v>
      </c>
      <c r="AN774" s="346">
        <v>52694</v>
      </c>
      <c r="AO774" s="342" t="s">
        <v>917</v>
      </c>
      <c r="AP774" t="s">
        <v>1843</v>
      </c>
      <c r="AQ774">
        <v>52694</v>
      </c>
      <c r="AR774" s="350">
        <v>97.21</v>
      </c>
      <c r="AS774" s="350">
        <v>100</v>
      </c>
      <c r="AT774" s="350">
        <v>96.79</v>
      </c>
    </row>
    <row r="775" spans="38:46">
      <c r="AL775" s="345">
        <v>52</v>
      </c>
      <c r="AM775" s="341" t="s">
        <v>26</v>
      </c>
      <c r="AN775" s="345">
        <v>52696</v>
      </c>
      <c r="AO775" s="341" t="s">
        <v>929</v>
      </c>
      <c r="AP775" t="s">
        <v>1844</v>
      </c>
      <c r="AQ775">
        <v>52696</v>
      </c>
      <c r="AR775" s="350">
        <v>36.28</v>
      </c>
      <c r="AS775" s="350">
        <v>95.78</v>
      </c>
      <c r="AT775" s="350">
        <v>3.36</v>
      </c>
    </row>
    <row r="776" spans="38:46">
      <c r="AL776" s="346">
        <v>52</v>
      </c>
      <c r="AM776" s="342" t="s">
        <v>26</v>
      </c>
      <c r="AN776" s="346">
        <v>52699</v>
      </c>
      <c r="AO776" s="342" t="s">
        <v>934</v>
      </c>
      <c r="AP776" t="s">
        <v>1845</v>
      </c>
      <c r="AQ776">
        <v>52699</v>
      </c>
      <c r="AR776" s="350">
        <v>74.55</v>
      </c>
      <c r="AS776" s="350">
        <v>99.36</v>
      </c>
      <c r="AT776" s="350">
        <v>70.540000000000006</v>
      </c>
    </row>
    <row r="777" spans="38:46">
      <c r="AL777" s="345">
        <v>52</v>
      </c>
      <c r="AM777" s="341" t="s">
        <v>26</v>
      </c>
      <c r="AN777" s="345">
        <v>52720</v>
      </c>
      <c r="AO777" s="341" t="s">
        <v>939</v>
      </c>
      <c r="AP777" t="s">
        <v>1846</v>
      </c>
      <c r="AQ777">
        <v>52720</v>
      </c>
      <c r="AR777" s="350">
        <v>98.67</v>
      </c>
      <c r="AS777" s="350">
        <v>99.51</v>
      </c>
      <c r="AT777" s="350">
        <v>98.44</v>
      </c>
    </row>
    <row r="778" spans="38:46">
      <c r="AL778" s="346">
        <v>52</v>
      </c>
      <c r="AM778" s="342" t="s">
        <v>26</v>
      </c>
      <c r="AN778" s="346">
        <v>52786</v>
      </c>
      <c r="AO778" s="342" t="s">
        <v>944</v>
      </c>
      <c r="AP778" t="s">
        <v>1847</v>
      </c>
      <c r="AQ778">
        <v>52786</v>
      </c>
      <c r="AR778" s="350">
        <v>97.16</v>
      </c>
      <c r="AS778" s="350">
        <v>99.1</v>
      </c>
      <c r="AT778" s="350">
        <v>96.52</v>
      </c>
    </row>
    <row r="779" spans="38:46">
      <c r="AL779" s="345">
        <v>52</v>
      </c>
      <c r="AM779" s="341" t="s">
        <v>26</v>
      </c>
      <c r="AN779" s="345">
        <v>52788</v>
      </c>
      <c r="AO779" s="341" t="s">
        <v>950</v>
      </c>
      <c r="AP779" t="s">
        <v>1848</v>
      </c>
      <c r="AQ779">
        <v>52788</v>
      </c>
      <c r="AR779" s="350">
        <v>98.19</v>
      </c>
      <c r="AS779" s="350">
        <v>99.27</v>
      </c>
      <c r="AT779" s="350">
        <v>97.77</v>
      </c>
    </row>
    <row r="780" spans="38:46">
      <c r="AL780" s="346">
        <v>52</v>
      </c>
      <c r="AM780" s="342" t="s">
        <v>26</v>
      </c>
      <c r="AN780" s="346">
        <v>52835</v>
      </c>
      <c r="AO780" s="342" t="s">
        <v>896</v>
      </c>
      <c r="AP780" t="s">
        <v>1849</v>
      </c>
      <c r="AQ780">
        <v>52835</v>
      </c>
      <c r="AR780" s="350">
        <v>78.69</v>
      </c>
      <c r="AS780" s="350">
        <v>97.76</v>
      </c>
      <c r="AT780" s="350">
        <v>59.09</v>
      </c>
    </row>
    <row r="781" spans="38:46">
      <c r="AL781" s="345">
        <v>52</v>
      </c>
      <c r="AM781" s="341" t="s">
        <v>26</v>
      </c>
      <c r="AN781" s="345">
        <v>52838</v>
      </c>
      <c r="AO781" s="341" t="s">
        <v>955</v>
      </c>
      <c r="AP781" t="s">
        <v>1850</v>
      </c>
      <c r="AQ781">
        <v>52838</v>
      </c>
      <c r="AR781" s="350">
        <v>96.68</v>
      </c>
      <c r="AS781" s="350">
        <v>99.78</v>
      </c>
      <c r="AT781" s="350">
        <v>94.47</v>
      </c>
    </row>
    <row r="782" spans="38:46">
      <c r="AL782" s="346">
        <v>52</v>
      </c>
      <c r="AM782" s="342" t="s">
        <v>26</v>
      </c>
      <c r="AN782" s="346">
        <v>52885</v>
      </c>
      <c r="AO782" s="342" t="s">
        <v>961</v>
      </c>
      <c r="AP782" t="s">
        <v>1851</v>
      </c>
      <c r="AQ782">
        <v>52885</v>
      </c>
      <c r="AR782" s="350">
        <v>97.72</v>
      </c>
      <c r="AS782" s="350">
        <v>98.88</v>
      </c>
      <c r="AT782" s="350">
        <v>97.15</v>
      </c>
    </row>
    <row r="783" spans="38:46">
      <c r="AL783" s="345">
        <v>54</v>
      </c>
      <c r="AM783" s="341" t="s">
        <v>1852</v>
      </c>
      <c r="AN783" s="345">
        <v>54001</v>
      </c>
      <c r="AO783" s="341" t="s">
        <v>729</v>
      </c>
      <c r="AP783" t="s">
        <v>1853</v>
      </c>
      <c r="AQ783">
        <v>54001</v>
      </c>
      <c r="AR783" s="350">
        <v>98.65</v>
      </c>
      <c r="AS783" s="350">
        <v>98.93</v>
      </c>
      <c r="AT783" s="350">
        <v>91.32</v>
      </c>
    </row>
    <row r="784" spans="38:46">
      <c r="AL784" s="346">
        <v>54</v>
      </c>
      <c r="AM784" s="342" t="s">
        <v>1852</v>
      </c>
      <c r="AN784" s="346">
        <v>54003</v>
      </c>
      <c r="AO784" s="342" t="s">
        <v>65</v>
      </c>
      <c r="AP784" t="s">
        <v>1854</v>
      </c>
      <c r="AQ784">
        <v>54003</v>
      </c>
      <c r="AR784" s="350">
        <v>93.75</v>
      </c>
      <c r="AS784" s="350">
        <v>99.91</v>
      </c>
      <c r="AT784" s="350">
        <v>86.67</v>
      </c>
    </row>
    <row r="785" spans="38:46">
      <c r="AL785" s="345">
        <v>54</v>
      </c>
      <c r="AM785" s="341" t="s">
        <v>1852</v>
      </c>
      <c r="AN785" s="345">
        <v>54051</v>
      </c>
      <c r="AO785" s="341" t="s">
        <v>97</v>
      </c>
      <c r="AP785" t="s">
        <v>1855</v>
      </c>
      <c r="AQ785">
        <v>54051</v>
      </c>
      <c r="AR785" s="350">
        <v>90.36</v>
      </c>
      <c r="AS785" s="350">
        <v>97.69</v>
      </c>
      <c r="AT785" s="350">
        <v>87.7</v>
      </c>
    </row>
    <row r="786" spans="38:46">
      <c r="AL786" s="346">
        <v>54</v>
      </c>
      <c r="AM786" s="342" t="s">
        <v>1852</v>
      </c>
      <c r="AN786" s="346">
        <v>54099</v>
      </c>
      <c r="AO786" s="342" t="s">
        <v>126</v>
      </c>
      <c r="AP786" t="s">
        <v>1856</v>
      </c>
      <c r="AQ786">
        <v>54099</v>
      </c>
      <c r="AR786" s="350">
        <v>98.11</v>
      </c>
      <c r="AS786" s="350">
        <v>99.19</v>
      </c>
      <c r="AT786" s="350">
        <v>97.37</v>
      </c>
    </row>
    <row r="787" spans="38:46">
      <c r="AL787" s="345">
        <v>54</v>
      </c>
      <c r="AM787" s="341" t="s">
        <v>1852</v>
      </c>
      <c r="AN787" s="345">
        <v>54109</v>
      </c>
      <c r="AO787" s="341" t="s">
        <v>157</v>
      </c>
      <c r="AP787" t="s">
        <v>1857</v>
      </c>
      <c r="AQ787">
        <v>54109</v>
      </c>
      <c r="AR787" s="350">
        <v>85.88</v>
      </c>
      <c r="AS787" s="350">
        <v>98.44</v>
      </c>
      <c r="AT787" s="350">
        <v>84.36</v>
      </c>
    </row>
    <row r="788" spans="38:46">
      <c r="AL788" s="346">
        <v>54</v>
      </c>
      <c r="AM788" s="342" t="s">
        <v>1852</v>
      </c>
      <c r="AN788" s="346">
        <v>54125</v>
      </c>
      <c r="AO788" s="342" t="s">
        <v>214</v>
      </c>
      <c r="AP788" t="s">
        <v>1858</v>
      </c>
      <c r="AQ788">
        <v>54125</v>
      </c>
      <c r="AR788" s="350">
        <v>93.36</v>
      </c>
      <c r="AS788" s="350">
        <v>95.57</v>
      </c>
      <c r="AT788" s="350">
        <v>92.19</v>
      </c>
    </row>
    <row r="789" spans="38:46">
      <c r="AL789" s="345">
        <v>54</v>
      </c>
      <c r="AM789" s="341" t="s">
        <v>1852</v>
      </c>
      <c r="AN789" s="345">
        <v>54128</v>
      </c>
      <c r="AO789" s="341" t="s">
        <v>187</v>
      </c>
      <c r="AP789" t="s">
        <v>1859</v>
      </c>
      <c r="AQ789">
        <v>54128</v>
      </c>
      <c r="AR789" s="350">
        <v>97.9</v>
      </c>
      <c r="AS789" s="350">
        <v>99.59</v>
      </c>
      <c r="AT789" s="350">
        <v>97.49</v>
      </c>
    </row>
    <row r="790" spans="38:46">
      <c r="AL790" s="346">
        <v>54</v>
      </c>
      <c r="AM790" s="342" t="s">
        <v>1852</v>
      </c>
      <c r="AN790" s="346">
        <v>54172</v>
      </c>
      <c r="AO790" s="342" t="s">
        <v>243</v>
      </c>
      <c r="AP790" t="s">
        <v>1860</v>
      </c>
      <c r="AQ790">
        <v>54172</v>
      </c>
      <c r="AR790" s="350">
        <v>98.23</v>
      </c>
      <c r="AS790" s="350">
        <v>99.2</v>
      </c>
      <c r="AT790" s="350">
        <v>96.15</v>
      </c>
    </row>
    <row r="791" spans="38:46">
      <c r="AL791" s="345">
        <v>54</v>
      </c>
      <c r="AM791" s="341" t="s">
        <v>1852</v>
      </c>
      <c r="AN791" s="345">
        <v>54174</v>
      </c>
      <c r="AO791" s="341" t="s">
        <v>270</v>
      </c>
      <c r="AP791" t="s">
        <v>1861</v>
      </c>
      <c r="AQ791">
        <v>54174</v>
      </c>
      <c r="AR791" s="350">
        <v>89.43</v>
      </c>
      <c r="AS791" s="350">
        <v>97.15</v>
      </c>
      <c r="AT791" s="350">
        <v>83.57</v>
      </c>
    </row>
    <row r="792" spans="38:46">
      <c r="AL792" s="346">
        <v>54</v>
      </c>
      <c r="AM792" s="342" t="s">
        <v>1852</v>
      </c>
      <c r="AN792" s="346">
        <v>54206</v>
      </c>
      <c r="AO792" s="342" t="s">
        <v>295</v>
      </c>
      <c r="AP792" t="s">
        <v>1862</v>
      </c>
      <c r="AQ792">
        <v>54206</v>
      </c>
      <c r="AR792" s="350">
        <v>86.72</v>
      </c>
      <c r="AS792" s="350">
        <v>95.66</v>
      </c>
      <c r="AT792" s="350">
        <v>80.290000000000006</v>
      </c>
    </row>
    <row r="793" spans="38:46">
      <c r="AL793" s="345">
        <v>54</v>
      </c>
      <c r="AM793" s="341" t="s">
        <v>1852</v>
      </c>
      <c r="AN793" s="345">
        <v>54223</v>
      </c>
      <c r="AO793" s="341" t="s">
        <v>321</v>
      </c>
      <c r="AP793" t="s">
        <v>1863</v>
      </c>
      <c r="AQ793">
        <v>54223</v>
      </c>
      <c r="AR793" s="350">
        <v>87.57</v>
      </c>
      <c r="AS793" s="350">
        <v>98.15</v>
      </c>
      <c r="AT793" s="350">
        <v>84.6</v>
      </c>
    </row>
    <row r="794" spans="38:46">
      <c r="AL794" s="346">
        <v>54</v>
      </c>
      <c r="AM794" s="342" t="s">
        <v>1852</v>
      </c>
      <c r="AN794" s="346">
        <v>54239</v>
      </c>
      <c r="AO794" s="342" t="s">
        <v>345</v>
      </c>
      <c r="AP794" t="s">
        <v>1864</v>
      </c>
      <c r="AQ794">
        <v>54239</v>
      </c>
      <c r="AR794" s="350">
        <v>94.53</v>
      </c>
      <c r="AS794" s="350">
        <v>98.85</v>
      </c>
      <c r="AT794" s="350">
        <v>90.26</v>
      </c>
    </row>
    <row r="795" spans="38:46">
      <c r="AL795" s="345">
        <v>54</v>
      </c>
      <c r="AM795" s="341" t="s">
        <v>1852</v>
      </c>
      <c r="AN795" s="345">
        <v>54245</v>
      </c>
      <c r="AO795" s="341" t="s">
        <v>368</v>
      </c>
      <c r="AP795" t="s">
        <v>1865</v>
      </c>
      <c r="AQ795">
        <v>54245</v>
      </c>
      <c r="AR795" s="350">
        <v>79.42</v>
      </c>
      <c r="AS795" s="350">
        <v>97.55</v>
      </c>
      <c r="AT795" s="350">
        <v>74.760000000000005</v>
      </c>
    </row>
    <row r="796" spans="38:46">
      <c r="AL796" s="346">
        <v>54</v>
      </c>
      <c r="AM796" s="342" t="s">
        <v>1852</v>
      </c>
      <c r="AN796" s="346">
        <v>54250</v>
      </c>
      <c r="AO796" s="342" t="s">
        <v>393</v>
      </c>
      <c r="AP796" t="s">
        <v>1866</v>
      </c>
      <c r="AQ796">
        <v>54250</v>
      </c>
      <c r="AR796" s="350">
        <v>81.72</v>
      </c>
      <c r="AS796" s="350">
        <v>93.48</v>
      </c>
      <c r="AT796" s="350">
        <v>72.45</v>
      </c>
    </row>
    <row r="797" spans="38:46">
      <c r="AL797" s="345">
        <v>54</v>
      </c>
      <c r="AM797" s="341" t="s">
        <v>1852</v>
      </c>
      <c r="AN797" s="345">
        <v>54261</v>
      </c>
      <c r="AO797" s="341" t="s">
        <v>416</v>
      </c>
      <c r="AP797" t="s">
        <v>1867</v>
      </c>
      <c r="AQ797">
        <v>54261</v>
      </c>
      <c r="AR797" s="350">
        <v>92.7</v>
      </c>
      <c r="AS797" s="350">
        <v>98.07</v>
      </c>
      <c r="AT797" s="350">
        <v>82.36</v>
      </c>
    </row>
    <row r="798" spans="38:46">
      <c r="AL798" s="346">
        <v>54</v>
      </c>
      <c r="AM798" s="342" t="s">
        <v>1852</v>
      </c>
      <c r="AN798" s="346">
        <v>54313</v>
      </c>
      <c r="AO798" s="342" t="s">
        <v>439</v>
      </c>
      <c r="AP798" t="s">
        <v>1868</v>
      </c>
      <c r="AQ798">
        <v>54313</v>
      </c>
      <c r="AR798" s="350">
        <v>97.07</v>
      </c>
      <c r="AS798" s="350">
        <v>100</v>
      </c>
      <c r="AT798" s="350">
        <v>95.37</v>
      </c>
    </row>
    <row r="799" spans="38:46">
      <c r="AL799" s="345">
        <v>54</v>
      </c>
      <c r="AM799" s="341" t="s">
        <v>1852</v>
      </c>
      <c r="AN799" s="345">
        <v>54344</v>
      </c>
      <c r="AO799" s="341" t="s">
        <v>461</v>
      </c>
      <c r="AP799" t="s">
        <v>1869</v>
      </c>
      <c r="AQ799">
        <v>54344</v>
      </c>
      <c r="AR799" s="350">
        <v>94.41</v>
      </c>
      <c r="AS799" s="350">
        <v>99.72</v>
      </c>
      <c r="AT799" s="350">
        <v>93.56</v>
      </c>
    </row>
    <row r="800" spans="38:46">
      <c r="AL800" s="346">
        <v>54</v>
      </c>
      <c r="AM800" s="342" t="s">
        <v>1852</v>
      </c>
      <c r="AN800" s="346">
        <v>54347</v>
      </c>
      <c r="AO800" s="342" t="s">
        <v>481</v>
      </c>
      <c r="AP800" t="s">
        <v>1870</v>
      </c>
      <c r="AQ800">
        <v>54347</v>
      </c>
      <c r="AR800" s="350">
        <v>93.4</v>
      </c>
      <c r="AS800" s="350">
        <v>97.75</v>
      </c>
      <c r="AT800" s="350">
        <v>91.74</v>
      </c>
    </row>
    <row r="801" spans="38:46">
      <c r="AL801" s="345">
        <v>54</v>
      </c>
      <c r="AM801" s="341" t="s">
        <v>1852</v>
      </c>
      <c r="AN801" s="345">
        <v>54377</v>
      </c>
      <c r="AO801" s="341" t="s">
        <v>538</v>
      </c>
      <c r="AP801" t="s">
        <v>1871</v>
      </c>
      <c r="AQ801">
        <v>54377</v>
      </c>
      <c r="AR801" s="350">
        <v>95.15</v>
      </c>
      <c r="AS801" s="350">
        <v>99.4</v>
      </c>
      <c r="AT801" s="350">
        <v>93.24</v>
      </c>
    </row>
    <row r="802" spans="38:46">
      <c r="AL802" s="346">
        <v>54</v>
      </c>
      <c r="AM802" s="342" t="s">
        <v>1852</v>
      </c>
      <c r="AN802" s="346">
        <v>54385</v>
      </c>
      <c r="AO802" s="342" t="s">
        <v>501</v>
      </c>
      <c r="AP802" t="s">
        <v>1872</v>
      </c>
      <c r="AQ802">
        <v>54385</v>
      </c>
      <c r="AR802" s="350">
        <v>96.61</v>
      </c>
      <c r="AS802" s="350">
        <v>98.2</v>
      </c>
      <c r="AT802" s="350">
        <v>96.29</v>
      </c>
    </row>
    <row r="803" spans="38:46">
      <c r="AL803" s="345">
        <v>54</v>
      </c>
      <c r="AM803" s="341" t="s">
        <v>1852</v>
      </c>
      <c r="AN803" s="345">
        <v>54398</v>
      </c>
      <c r="AO803" s="341" t="s">
        <v>521</v>
      </c>
      <c r="AP803" t="s">
        <v>1873</v>
      </c>
      <c r="AQ803">
        <v>54398</v>
      </c>
      <c r="AR803" s="350">
        <v>96.05</v>
      </c>
      <c r="AS803" s="350">
        <v>100</v>
      </c>
      <c r="AT803" s="350">
        <v>95.46</v>
      </c>
    </row>
    <row r="804" spans="38:46">
      <c r="AL804" s="346">
        <v>54</v>
      </c>
      <c r="AM804" s="342" t="s">
        <v>1852</v>
      </c>
      <c r="AN804" s="346">
        <v>54405</v>
      </c>
      <c r="AO804" s="342" t="s">
        <v>556</v>
      </c>
      <c r="AP804" t="s">
        <v>1874</v>
      </c>
      <c r="AQ804">
        <v>54405</v>
      </c>
      <c r="AR804" s="350">
        <v>98.89</v>
      </c>
      <c r="AS804" s="350">
        <v>99.07</v>
      </c>
      <c r="AT804" s="350">
        <v>93.57</v>
      </c>
    </row>
    <row r="805" spans="38:46">
      <c r="AL805" s="345">
        <v>54</v>
      </c>
      <c r="AM805" s="341" t="s">
        <v>1852</v>
      </c>
      <c r="AN805" s="345">
        <v>54418</v>
      </c>
      <c r="AO805" s="341" t="s">
        <v>575</v>
      </c>
      <c r="AP805" t="s">
        <v>1875</v>
      </c>
      <c r="AQ805">
        <v>54418</v>
      </c>
      <c r="AR805" s="350">
        <v>96.25</v>
      </c>
      <c r="AS805" s="350">
        <v>99.46</v>
      </c>
      <c r="AT805" s="350">
        <v>91.91</v>
      </c>
    </row>
    <row r="806" spans="38:46">
      <c r="AL806" s="346">
        <v>54</v>
      </c>
      <c r="AM806" s="342" t="s">
        <v>1852</v>
      </c>
      <c r="AN806" s="346">
        <v>54480</v>
      </c>
      <c r="AO806" s="342" t="s">
        <v>595</v>
      </c>
      <c r="AP806" t="s">
        <v>1876</v>
      </c>
      <c r="AQ806">
        <v>54480</v>
      </c>
      <c r="AR806" s="350">
        <v>96.88</v>
      </c>
      <c r="AS806" s="350">
        <v>98.74</v>
      </c>
      <c r="AT806" s="350">
        <v>96.39</v>
      </c>
    </row>
    <row r="807" spans="38:46">
      <c r="AL807" s="345">
        <v>54</v>
      </c>
      <c r="AM807" s="341" t="s">
        <v>1852</v>
      </c>
      <c r="AN807" s="345">
        <v>54498</v>
      </c>
      <c r="AO807" s="341" t="s">
        <v>612</v>
      </c>
      <c r="AP807" t="s">
        <v>1877</v>
      </c>
      <c r="AQ807">
        <v>54498</v>
      </c>
      <c r="AR807" s="350">
        <v>98.58</v>
      </c>
      <c r="AS807" s="350">
        <v>98.98</v>
      </c>
      <c r="AT807" s="350">
        <v>94.88</v>
      </c>
    </row>
    <row r="808" spans="38:46">
      <c r="AL808" s="346">
        <v>54</v>
      </c>
      <c r="AM808" s="342" t="s">
        <v>1852</v>
      </c>
      <c r="AN808" s="346">
        <v>54518</v>
      </c>
      <c r="AO808" s="342" t="s">
        <v>628</v>
      </c>
      <c r="AP808" t="s">
        <v>1878</v>
      </c>
      <c r="AQ808">
        <v>54518</v>
      </c>
      <c r="AR808" s="350">
        <v>99.32</v>
      </c>
      <c r="AS808" s="350">
        <v>99.6</v>
      </c>
      <c r="AT808" s="350">
        <v>96.06</v>
      </c>
    </row>
    <row r="809" spans="38:46">
      <c r="AL809" s="345">
        <v>54</v>
      </c>
      <c r="AM809" s="341" t="s">
        <v>1852</v>
      </c>
      <c r="AN809" s="345">
        <v>54520</v>
      </c>
      <c r="AO809" s="341" t="s">
        <v>645</v>
      </c>
      <c r="AP809" t="s">
        <v>1879</v>
      </c>
      <c r="AQ809">
        <v>54520</v>
      </c>
      <c r="AR809" s="350">
        <v>97.07</v>
      </c>
      <c r="AS809" s="350">
        <v>97.67</v>
      </c>
      <c r="AT809" s="350">
        <v>96.91</v>
      </c>
    </row>
    <row r="810" spans="38:46">
      <c r="AL810" s="346">
        <v>54</v>
      </c>
      <c r="AM810" s="342" t="s">
        <v>1852</v>
      </c>
      <c r="AN810" s="346">
        <v>54553</v>
      </c>
      <c r="AO810" s="342" t="s">
        <v>304</v>
      </c>
      <c r="AP810" t="s">
        <v>1880</v>
      </c>
      <c r="AQ810">
        <v>54553</v>
      </c>
      <c r="AR810" s="350">
        <v>98.86</v>
      </c>
      <c r="AS810" s="350">
        <v>99.78</v>
      </c>
      <c r="AT810" s="350">
        <v>86.67</v>
      </c>
    </row>
    <row r="811" spans="38:46">
      <c r="AL811" s="345">
        <v>54</v>
      </c>
      <c r="AM811" s="341" t="s">
        <v>1852</v>
      </c>
      <c r="AN811" s="345">
        <v>54599</v>
      </c>
      <c r="AO811" s="341" t="s">
        <v>677</v>
      </c>
      <c r="AP811" t="s">
        <v>1881</v>
      </c>
      <c r="AQ811">
        <v>54599</v>
      </c>
      <c r="AR811" s="350">
        <v>93.81</v>
      </c>
      <c r="AS811" s="350">
        <v>97.99</v>
      </c>
      <c r="AT811" s="350">
        <v>89.54</v>
      </c>
    </row>
    <row r="812" spans="38:46">
      <c r="AL812" s="346">
        <v>54</v>
      </c>
      <c r="AM812" s="342" t="s">
        <v>1852</v>
      </c>
      <c r="AN812" s="346">
        <v>54660</v>
      </c>
      <c r="AO812" s="342" t="s">
        <v>691</v>
      </c>
      <c r="AP812" t="s">
        <v>1882</v>
      </c>
      <c r="AQ812">
        <v>54660</v>
      </c>
      <c r="AR812" s="350">
        <v>96.1</v>
      </c>
      <c r="AS812" s="350">
        <v>98.93</v>
      </c>
      <c r="AT812" s="350">
        <v>93.8</v>
      </c>
    </row>
    <row r="813" spans="38:46">
      <c r="AL813" s="345">
        <v>54</v>
      </c>
      <c r="AM813" s="341" t="s">
        <v>1852</v>
      </c>
      <c r="AN813" s="345">
        <v>54670</v>
      </c>
      <c r="AO813" s="341" t="s">
        <v>706</v>
      </c>
      <c r="AP813" t="s">
        <v>1883</v>
      </c>
      <c r="AQ813">
        <v>54670</v>
      </c>
      <c r="AR813" s="350">
        <v>87.41</v>
      </c>
      <c r="AS813" s="350">
        <v>97.71</v>
      </c>
      <c r="AT813" s="350">
        <v>84.87</v>
      </c>
    </row>
    <row r="814" spans="38:46">
      <c r="AL814" s="346">
        <v>54</v>
      </c>
      <c r="AM814" s="342" t="s">
        <v>1852</v>
      </c>
      <c r="AN814" s="346">
        <v>54673</v>
      </c>
      <c r="AO814" s="342" t="s">
        <v>718</v>
      </c>
      <c r="AP814" t="s">
        <v>1884</v>
      </c>
      <c r="AQ814">
        <v>54673</v>
      </c>
      <c r="AR814" s="350">
        <v>93.96</v>
      </c>
      <c r="AS814" s="350">
        <v>96.91</v>
      </c>
      <c r="AT814" s="350">
        <v>92.5</v>
      </c>
    </row>
    <row r="815" spans="38:46">
      <c r="AL815" s="345">
        <v>54</v>
      </c>
      <c r="AM815" s="341" t="s">
        <v>1852</v>
      </c>
      <c r="AN815" s="345">
        <v>54680</v>
      </c>
      <c r="AO815" s="341" t="s">
        <v>322</v>
      </c>
      <c r="AP815" t="s">
        <v>1885</v>
      </c>
      <c r="AQ815">
        <v>54680</v>
      </c>
      <c r="AR815" s="350">
        <v>91.14</v>
      </c>
      <c r="AS815" s="350">
        <v>99.15</v>
      </c>
      <c r="AT815" s="350">
        <v>80.56</v>
      </c>
    </row>
    <row r="816" spans="38:46">
      <c r="AL816" s="346">
        <v>54</v>
      </c>
      <c r="AM816" s="342" t="s">
        <v>1852</v>
      </c>
      <c r="AN816" s="346">
        <v>54720</v>
      </c>
      <c r="AO816" s="342" t="s">
        <v>751</v>
      </c>
      <c r="AP816" t="s">
        <v>1886</v>
      </c>
      <c r="AQ816">
        <v>54720</v>
      </c>
      <c r="AR816" s="350">
        <v>71.08</v>
      </c>
      <c r="AS816" s="350">
        <v>98.78</v>
      </c>
      <c r="AT816" s="350">
        <v>49.37</v>
      </c>
    </row>
    <row r="817" spans="38:46">
      <c r="AL817" s="345">
        <v>54</v>
      </c>
      <c r="AM817" s="341" t="s">
        <v>1852</v>
      </c>
      <c r="AN817" s="345">
        <v>54743</v>
      </c>
      <c r="AO817" s="341" t="s">
        <v>763</v>
      </c>
      <c r="AP817" t="s">
        <v>1887</v>
      </c>
      <c r="AQ817">
        <v>54743</v>
      </c>
      <c r="AR817" s="350">
        <v>97.84</v>
      </c>
      <c r="AS817" s="350">
        <v>98.95</v>
      </c>
      <c r="AT817" s="350">
        <v>97.61</v>
      </c>
    </row>
    <row r="818" spans="38:46">
      <c r="AL818" s="346">
        <v>54</v>
      </c>
      <c r="AM818" s="342" t="s">
        <v>1852</v>
      </c>
      <c r="AN818" s="346">
        <v>54800</v>
      </c>
      <c r="AO818" s="342" t="s">
        <v>774</v>
      </c>
      <c r="AP818" t="s">
        <v>1888</v>
      </c>
      <c r="AQ818">
        <v>54800</v>
      </c>
      <c r="AR818" s="350">
        <v>87.83</v>
      </c>
      <c r="AS818" s="350">
        <v>97.05</v>
      </c>
      <c r="AT818" s="350">
        <v>85.6</v>
      </c>
    </row>
    <row r="819" spans="38:46">
      <c r="AL819" s="345">
        <v>54</v>
      </c>
      <c r="AM819" s="341" t="s">
        <v>1852</v>
      </c>
      <c r="AN819" s="345">
        <v>54810</v>
      </c>
      <c r="AO819" s="341" t="s">
        <v>783</v>
      </c>
      <c r="AP819" t="s">
        <v>1889</v>
      </c>
      <c r="AQ819">
        <v>54810</v>
      </c>
      <c r="AR819" s="350">
        <v>71.86</v>
      </c>
      <c r="AS819" s="350">
        <v>94.36</v>
      </c>
      <c r="AT819" s="350">
        <v>57.62</v>
      </c>
    </row>
    <row r="820" spans="38:46">
      <c r="AL820" s="346">
        <v>54</v>
      </c>
      <c r="AM820" s="342" t="s">
        <v>1852</v>
      </c>
      <c r="AN820" s="346">
        <v>54820</v>
      </c>
      <c r="AO820" s="342" t="s">
        <v>793</v>
      </c>
      <c r="AP820" t="s">
        <v>1890</v>
      </c>
      <c r="AQ820">
        <v>54820</v>
      </c>
      <c r="AR820" s="350">
        <v>85.24</v>
      </c>
      <c r="AS820" s="350">
        <v>99.63</v>
      </c>
      <c r="AT820" s="350">
        <v>77.22</v>
      </c>
    </row>
    <row r="821" spans="38:46">
      <c r="AL821" s="345">
        <v>54</v>
      </c>
      <c r="AM821" s="341" t="s">
        <v>1852</v>
      </c>
      <c r="AN821" s="345">
        <v>54871</v>
      </c>
      <c r="AO821" s="341" t="s">
        <v>803</v>
      </c>
      <c r="AP821" t="s">
        <v>1891</v>
      </c>
      <c r="AQ821">
        <v>54871</v>
      </c>
      <c r="AR821" s="350">
        <v>97.96</v>
      </c>
      <c r="AS821" s="350">
        <v>98.95</v>
      </c>
      <c r="AT821" s="350">
        <v>97.09</v>
      </c>
    </row>
    <row r="822" spans="38:46">
      <c r="AL822" s="346">
        <v>54</v>
      </c>
      <c r="AM822" s="342" t="s">
        <v>1852</v>
      </c>
      <c r="AN822" s="346">
        <v>54874</v>
      </c>
      <c r="AO822" s="342" t="s">
        <v>813</v>
      </c>
      <c r="AP822" t="s">
        <v>1892</v>
      </c>
      <c r="AQ822">
        <v>54874</v>
      </c>
      <c r="AR822" s="350">
        <v>98.46</v>
      </c>
      <c r="AS822" s="350">
        <v>98.47</v>
      </c>
      <c r="AT822" s="350">
        <v>97.95</v>
      </c>
    </row>
    <row r="823" spans="38:46">
      <c r="AL823" s="345">
        <v>63</v>
      </c>
      <c r="AM823" s="341" t="s">
        <v>29</v>
      </c>
      <c r="AN823" s="345">
        <v>63001</v>
      </c>
      <c r="AO823" s="341" t="s">
        <v>67</v>
      </c>
      <c r="AP823" t="s">
        <v>1893</v>
      </c>
      <c r="AQ823">
        <v>63001</v>
      </c>
      <c r="AR823" s="350">
        <v>99.2</v>
      </c>
      <c r="AS823" s="350">
        <v>99.19</v>
      </c>
      <c r="AT823" s="350">
        <v>99.63</v>
      </c>
    </row>
    <row r="824" spans="38:46">
      <c r="AL824" s="346">
        <v>63</v>
      </c>
      <c r="AM824" s="342" t="s">
        <v>29</v>
      </c>
      <c r="AN824" s="346">
        <v>63111</v>
      </c>
      <c r="AO824" s="342" t="s">
        <v>70</v>
      </c>
      <c r="AP824" t="s">
        <v>1894</v>
      </c>
      <c r="AQ824">
        <v>63111</v>
      </c>
      <c r="AR824" s="350">
        <v>97.9</v>
      </c>
      <c r="AS824" s="350">
        <v>99.56</v>
      </c>
      <c r="AT824" s="350">
        <v>96.23</v>
      </c>
    </row>
    <row r="825" spans="38:46">
      <c r="AL825" s="345">
        <v>63</v>
      </c>
      <c r="AM825" s="341" t="s">
        <v>29</v>
      </c>
      <c r="AN825" s="345">
        <v>63130</v>
      </c>
      <c r="AO825" s="341" t="s">
        <v>128</v>
      </c>
      <c r="AP825" t="s">
        <v>1895</v>
      </c>
      <c r="AQ825">
        <v>63130</v>
      </c>
      <c r="AR825" s="350">
        <v>99.07</v>
      </c>
      <c r="AS825" s="350">
        <v>99.13</v>
      </c>
      <c r="AT825" s="350">
        <v>98.83</v>
      </c>
    </row>
    <row r="826" spans="38:46">
      <c r="AL826" s="346">
        <v>63</v>
      </c>
      <c r="AM826" s="342" t="s">
        <v>29</v>
      </c>
      <c r="AN826" s="346">
        <v>63190</v>
      </c>
      <c r="AO826" s="342" t="s">
        <v>159</v>
      </c>
      <c r="AP826" t="s">
        <v>1896</v>
      </c>
      <c r="AQ826">
        <v>63190</v>
      </c>
      <c r="AR826" s="350">
        <v>99.42</v>
      </c>
      <c r="AS826" s="350">
        <v>99.53</v>
      </c>
      <c r="AT826" s="350">
        <v>99.1</v>
      </c>
    </row>
    <row r="827" spans="38:46">
      <c r="AL827" s="345">
        <v>63</v>
      </c>
      <c r="AM827" s="341" t="s">
        <v>29</v>
      </c>
      <c r="AN827" s="345">
        <v>63212</v>
      </c>
      <c r="AO827" s="341" t="s">
        <v>18</v>
      </c>
      <c r="AP827" t="s">
        <v>1897</v>
      </c>
      <c r="AQ827">
        <v>63212</v>
      </c>
      <c r="AR827" s="350">
        <v>98.22</v>
      </c>
      <c r="AS827" s="350">
        <v>99.73</v>
      </c>
      <c r="AT827" s="350">
        <v>96.12</v>
      </c>
    </row>
    <row r="828" spans="38:46">
      <c r="AL828" s="346">
        <v>63</v>
      </c>
      <c r="AM828" s="342" t="s">
        <v>29</v>
      </c>
      <c r="AN828" s="346">
        <v>63272</v>
      </c>
      <c r="AO828" s="342" t="s">
        <v>216</v>
      </c>
      <c r="AP828" t="s">
        <v>1898</v>
      </c>
      <c r="AQ828">
        <v>63272</v>
      </c>
      <c r="AR828" s="350">
        <v>99.46</v>
      </c>
      <c r="AS828" s="350">
        <v>99.73</v>
      </c>
      <c r="AT828" s="350">
        <v>99.11</v>
      </c>
    </row>
    <row r="829" spans="38:46">
      <c r="AL829" s="345">
        <v>63</v>
      </c>
      <c r="AM829" s="341" t="s">
        <v>29</v>
      </c>
      <c r="AN829" s="345">
        <v>63302</v>
      </c>
      <c r="AO829" s="341" t="s">
        <v>245</v>
      </c>
      <c r="AP829" t="s">
        <v>1899</v>
      </c>
      <c r="AQ829">
        <v>63302</v>
      </c>
      <c r="AR829" s="350">
        <v>97.7</v>
      </c>
      <c r="AS829" s="350">
        <v>99.33</v>
      </c>
      <c r="AT829" s="350">
        <v>95.38</v>
      </c>
    </row>
    <row r="830" spans="38:46">
      <c r="AL830" s="346">
        <v>63</v>
      </c>
      <c r="AM830" s="342" t="s">
        <v>29</v>
      </c>
      <c r="AN830" s="346">
        <v>63401</v>
      </c>
      <c r="AO830" s="342" t="s">
        <v>272</v>
      </c>
      <c r="AP830" t="s">
        <v>1900</v>
      </c>
      <c r="AQ830">
        <v>63401</v>
      </c>
      <c r="AR830" s="350">
        <v>98.62</v>
      </c>
      <c r="AS830" s="350">
        <v>98.57</v>
      </c>
      <c r="AT830" s="350">
        <v>99.04</v>
      </c>
    </row>
    <row r="831" spans="38:46">
      <c r="AL831" s="345">
        <v>63</v>
      </c>
      <c r="AM831" s="341" t="s">
        <v>29</v>
      </c>
      <c r="AN831" s="345">
        <v>63470</v>
      </c>
      <c r="AO831" s="341" t="s">
        <v>297</v>
      </c>
      <c r="AP831" t="s">
        <v>1901</v>
      </c>
      <c r="AQ831">
        <v>63470</v>
      </c>
      <c r="AR831" s="350">
        <v>99.06</v>
      </c>
      <c r="AS831" s="350">
        <v>99.01</v>
      </c>
      <c r="AT831" s="350">
        <v>99.29</v>
      </c>
    </row>
    <row r="832" spans="38:46">
      <c r="AL832" s="346">
        <v>63</v>
      </c>
      <c r="AM832" s="342" t="s">
        <v>29</v>
      </c>
      <c r="AN832" s="346">
        <v>63548</v>
      </c>
      <c r="AO832" s="342" t="s">
        <v>323</v>
      </c>
      <c r="AP832" t="s">
        <v>1902</v>
      </c>
      <c r="AQ832">
        <v>63548</v>
      </c>
      <c r="AR832" s="350">
        <v>96.96</v>
      </c>
      <c r="AS832" s="350">
        <v>99.59</v>
      </c>
      <c r="AT832" s="350">
        <v>92.85</v>
      </c>
    </row>
    <row r="833" spans="38:46">
      <c r="AL833" s="345">
        <v>63</v>
      </c>
      <c r="AM833" s="341" t="s">
        <v>29</v>
      </c>
      <c r="AN833" s="345">
        <v>63594</v>
      </c>
      <c r="AO833" s="341" t="s">
        <v>347</v>
      </c>
      <c r="AP833" t="s">
        <v>1903</v>
      </c>
      <c r="AQ833">
        <v>63594</v>
      </c>
      <c r="AR833" s="350">
        <v>99.48</v>
      </c>
      <c r="AS833" s="350">
        <v>99.64</v>
      </c>
      <c r="AT833" s="350">
        <v>98.73</v>
      </c>
    </row>
    <row r="834" spans="38:46">
      <c r="AL834" s="346">
        <v>63</v>
      </c>
      <c r="AM834" s="342" t="s">
        <v>29</v>
      </c>
      <c r="AN834" s="346">
        <v>63690</v>
      </c>
      <c r="AO834" s="342" t="s">
        <v>370</v>
      </c>
      <c r="AP834" t="s">
        <v>1904</v>
      </c>
      <c r="AQ834">
        <v>63690</v>
      </c>
      <c r="AR834" s="350">
        <v>97.36</v>
      </c>
      <c r="AS834" s="350">
        <v>98.74</v>
      </c>
      <c r="AT834" s="350">
        <v>95.97</v>
      </c>
    </row>
    <row r="835" spans="38:46">
      <c r="AL835" s="345">
        <v>66</v>
      </c>
      <c r="AM835" s="341" t="s">
        <v>30</v>
      </c>
      <c r="AN835" s="345">
        <v>66001</v>
      </c>
      <c r="AO835" s="341" t="s">
        <v>324</v>
      </c>
      <c r="AP835" t="s">
        <v>1905</v>
      </c>
      <c r="AQ835">
        <v>66001</v>
      </c>
      <c r="AR835" s="350">
        <v>99.53</v>
      </c>
      <c r="AS835" s="350">
        <v>99.66</v>
      </c>
      <c r="AT835" s="350">
        <v>98.86</v>
      </c>
    </row>
    <row r="836" spans="38:46">
      <c r="AL836" s="346">
        <v>66</v>
      </c>
      <c r="AM836" s="342" t="s">
        <v>30</v>
      </c>
      <c r="AN836" s="346">
        <v>66045</v>
      </c>
      <c r="AO836" s="342" t="s">
        <v>68</v>
      </c>
      <c r="AP836" t="s">
        <v>1906</v>
      </c>
      <c r="AQ836">
        <v>66045</v>
      </c>
      <c r="AR836" s="350">
        <v>99.55</v>
      </c>
      <c r="AS836" s="350">
        <v>99.72</v>
      </c>
      <c r="AT836" s="350">
        <v>99.36</v>
      </c>
    </row>
    <row r="837" spans="38:46">
      <c r="AL837" s="345">
        <v>66</v>
      </c>
      <c r="AM837" s="341" t="s">
        <v>30</v>
      </c>
      <c r="AN837" s="345">
        <v>66075</v>
      </c>
      <c r="AO837" s="341" t="s">
        <v>99</v>
      </c>
      <c r="AP837" t="s">
        <v>1907</v>
      </c>
      <c r="AQ837">
        <v>66075</v>
      </c>
      <c r="AR837" s="350">
        <v>99.36</v>
      </c>
      <c r="AS837" s="350">
        <v>99.8</v>
      </c>
      <c r="AT837" s="350">
        <v>99.16</v>
      </c>
    </row>
    <row r="838" spans="38:46">
      <c r="AL838" s="346">
        <v>66</v>
      </c>
      <c r="AM838" s="342" t="s">
        <v>30</v>
      </c>
      <c r="AN838" s="346">
        <v>66088</v>
      </c>
      <c r="AO838" s="342" t="s">
        <v>129</v>
      </c>
      <c r="AP838" t="s">
        <v>1908</v>
      </c>
      <c r="AQ838">
        <v>66088</v>
      </c>
      <c r="AR838" s="350">
        <v>99.15</v>
      </c>
      <c r="AS838" s="350">
        <v>99.84</v>
      </c>
      <c r="AT838" s="350">
        <v>98.25</v>
      </c>
    </row>
    <row r="839" spans="38:46">
      <c r="AL839" s="345">
        <v>66</v>
      </c>
      <c r="AM839" s="341" t="s">
        <v>30</v>
      </c>
      <c r="AN839" s="345">
        <v>66170</v>
      </c>
      <c r="AO839" s="341" t="s">
        <v>160</v>
      </c>
      <c r="AP839" t="s">
        <v>1909</v>
      </c>
      <c r="AQ839">
        <v>66170</v>
      </c>
      <c r="AR839" s="350">
        <v>99.77</v>
      </c>
      <c r="AS839" s="350">
        <v>99.83</v>
      </c>
      <c r="AT839" s="350">
        <v>98.72</v>
      </c>
    </row>
    <row r="840" spans="38:46">
      <c r="AL840" s="346">
        <v>66</v>
      </c>
      <c r="AM840" s="342" t="s">
        <v>30</v>
      </c>
      <c r="AN840" s="346">
        <v>66318</v>
      </c>
      <c r="AO840" s="342" t="s">
        <v>189</v>
      </c>
      <c r="AP840" t="s">
        <v>1910</v>
      </c>
      <c r="AQ840">
        <v>66318</v>
      </c>
      <c r="AR840" s="350">
        <v>98.73</v>
      </c>
      <c r="AS840" s="350">
        <v>99.29</v>
      </c>
      <c r="AT840" s="350">
        <v>98.47</v>
      </c>
    </row>
    <row r="841" spans="38:46">
      <c r="AL841" s="345">
        <v>66</v>
      </c>
      <c r="AM841" s="341" t="s">
        <v>30</v>
      </c>
      <c r="AN841" s="345">
        <v>66383</v>
      </c>
      <c r="AO841" s="341" t="s">
        <v>217</v>
      </c>
      <c r="AP841" t="s">
        <v>1911</v>
      </c>
      <c r="AQ841">
        <v>66383</v>
      </c>
      <c r="AR841" s="350">
        <v>99</v>
      </c>
      <c r="AS841" s="350">
        <v>99.79</v>
      </c>
      <c r="AT841" s="350">
        <v>98.33</v>
      </c>
    </row>
    <row r="842" spans="38:46">
      <c r="AL842" s="346">
        <v>66</v>
      </c>
      <c r="AM842" s="342" t="s">
        <v>30</v>
      </c>
      <c r="AN842" s="346">
        <v>66400</v>
      </c>
      <c r="AO842" s="342" t="s">
        <v>246</v>
      </c>
      <c r="AP842" t="s">
        <v>1912</v>
      </c>
      <c r="AQ842">
        <v>66400</v>
      </c>
      <c r="AR842" s="350">
        <v>99.77</v>
      </c>
      <c r="AS842" s="350">
        <v>99.77</v>
      </c>
      <c r="AT842" s="350">
        <v>99.35</v>
      </c>
    </row>
    <row r="843" spans="38:46">
      <c r="AL843" s="345">
        <v>66</v>
      </c>
      <c r="AM843" s="341" t="s">
        <v>30</v>
      </c>
      <c r="AN843" s="345">
        <v>66440</v>
      </c>
      <c r="AO843" s="341" t="s">
        <v>273</v>
      </c>
      <c r="AP843" t="s">
        <v>1913</v>
      </c>
      <c r="AQ843">
        <v>66440</v>
      </c>
      <c r="AR843" s="350">
        <v>97.95</v>
      </c>
      <c r="AS843" s="350">
        <v>99.83</v>
      </c>
      <c r="AT843" s="350">
        <v>95.6</v>
      </c>
    </row>
    <row r="844" spans="38:46">
      <c r="AL844" s="346">
        <v>66</v>
      </c>
      <c r="AM844" s="342" t="s">
        <v>30</v>
      </c>
      <c r="AN844" s="346">
        <v>66456</v>
      </c>
      <c r="AO844" s="342" t="s">
        <v>298</v>
      </c>
      <c r="AP844" t="s">
        <v>1914</v>
      </c>
      <c r="AQ844">
        <v>66456</v>
      </c>
      <c r="AR844" s="350">
        <v>95.37</v>
      </c>
      <c r="AS844" s="350">
        <v>99.71</v>
      </c>
      <c r="AT844" s="350">
        <v>93.34</v>
      </c>
    </row>
    <row r="845" spans="38:46">
      <c r="AL845" s="345">
        <v>66</v>
      </c>
      <c r="AM845" s="341" t="s">
        <v>30</v>
      </c>
      <c r="AN845" s="345">
        <v>66572</v>
      </c>
      <c r="AO845" s="341" t="s">
        <v>348</v>
      </c>
      <c r="AP845" t="s">
        <v>1915</v>
      </c>
      <c r="AQ845">
        <v>66572</v>
      </c>
      <c r="AR845" s="350">
        <v>92.84</v>
      </c>
      <c r="AS845" s="350">
        <v>99.23</v>
      </c>
      <c r="AT845" s="350">
        <v>90.7</v>
      </c>
    </row>
    <row r="846" spans="38:46">
      <c r="AL846" s="346">
        <v>66</v>
      </c>
      <c r="AM846" s="342" t="s">
        <v>30</v>
      </c>
      <c r="AN846" s="346">
        <v>66594</v>
      </c>
      <c r="AO846" s="342" t="s">
        <v>371</v>
      </c>
      <c r="AP846" t="s">
        <v>1916</v>
      </c>
      <c r="AQ846">
        <v>66594</v>
      </c>
      <c r="AR846" s="350">
        <v>98.27</v>
      </c>
      <c r="AS846" s="350">
        <v>99.74</v>
      </c>
      <c r="AT846" s="350">
        <v>97.58</v>
      </c>
    </row>
    <row r="847" spans="38:46">
      <c r="AL847" s="345">
        <v>66</v>
      </c>
      <c r="AM847" s="341" t="s">
        <v>30</v>
      </c>
      <c r="AN847" s="345">
        <v>66682</v>
      </c>
      <c r="AO847" s="341" t="s">
        <v>395</v>
      </c>
      <c r="AP847" t="s">
        <v>1917</v>
      </c>
      <c r="AQ847">
        <v>66682</v>
      </c>
      <c r="AR847" s="350">
        <v>99.59</v>
      </c>
      <c r="AS847" s="350">
        <v>99.72</v>
      </c>
      <c r="AT847" s="350">
        <v>98.82</v>
      </c>
    </row>
    <row r="848" spans="38:46">
      <c r="AL848" s="346">
        <v>66</v>
      </c>
      <c r="AM848" s="342" t="s">
        <v>30</v>
      </c>
      <c r="AN848" s="346">
        <v>66687</v>
      </c>
      <c r="AO848" s="342" t="s">
        <v>417</v>
      </c>
      <c r="AP848" t="s">
        <v>1918</v>
      </c>
      <c r="AQ848">
        <v>66687</v>
      </c>
      <c r="AR848" s="350">
        <v>99.45</v>
      </c>
      <c r="AS848" s="350">
        <v>99.85</v>
      </c>
      <c r="AT848" s="350">
        <v>99</v>
      </c>
    </row>
    <row r="849" spans="38:46">
      <c r="AL849" s="345">
        <v>68</v>
      </c>
      <c r="AM849" s="341" t="s">
        <v>31</v>
      </c>
      <c r="AN849" s="345">
        <v>68001</v>
      </c>
      <c r="AO849" s="341" t="s">
        <v>299</v>
      </c>
      <c r="AP849" t="s">
        <v>1919</v>
      </c>
      <c r="AQ849">
        <v>68001</v>
      </c>
      <c r="AR849" s="350">
        <v>99.49</v>
      </c>
      <c r="AS849" s="350">
        <v>99.53</v>
      </c>
      <c r="AT849" s="350">
        <v>96.9</v>
      </c>
    </row>
    <row r="850" spans="38:46">
      <c r="AL850" s="346">
        <v>68</v>
      </c>
      <c r="AM850" s="342" t="s">
        <v>31</v>
      </c>
      <c r="AN850" s="346">
        <v>68013</v>
      </c>
      <c r="AO850" s="342" t="s">
        <v>69</v>
      </c>
      <c r="AP850" t="s">
        <v>1920</v>
      </c>
      <c r="AQ850">
        <v>68013</v>
      </c>
      <c r="AR850" s="350">
        <v>97.89</v>
      </c>
      <c r="AS850" s="350">
        <v>98.02</v>
      </c>
      <c r="AT850" s="350">
        <v>97.86</v>
      </c>
    </row>
    <row r="851" spans="38:46">
      <c r="AL851" s="345">
        <v>68</v>
      </c>
      <c r="AM851" s="341" t="s">
        <v>31</v>
      </c>
      <c r="AN851" s="345">
        <v>68020</v>
      </c>
      <c r="AO851" s="341" t="s">
        <v>52</v>
      </c>
      <c r="AP851" t="s">
        <v>1921</v>
      </c>
      <c r="AQ851">
        <v>68020</v>
      </c>
      <c r="AR851" s="350">
        <v>99.07</v>
      </c>
      <c r="AS851" s="350">
        <v>99.37</v>
      </c>
      <c r="AT851" s="350">
        <v>99.02</v>
      </c>
    </row>
    <row r="852" spans="38:46">
      <c r="AL852" s="346">
        <v>68</v>
      </c>
      <c r="AM852" s="342" t="s">
        <v>31</v>
      </c>
      <c r="AN852" s="346">
        <v>68051</v>
      </c>
      <c r="AO852" s="342" t="s">
        <v>130</v>
      </c>
      <c r="AP852" t="s">
        <v>1922</v>
      </c>
      <c r="AQ852">
        <v>68051</v>
      </c>
      <c r="AR852" s="350">
        <v>96.81</v>
      </c>
      <c r="AS852" s="350">
        <v>98.83</v>
      </c>
      <c r="AT852" s="350">
        <v>95.97</v>
      </c>
    </row>
    <row r="853" spans="38:46">
      <c r="AL853" s="345">
        <v>68</v>
      </c>
      <c r="AM853" s="341" t="s">
        <v>31</v>
      </c>
      <c r="AN853" s="345">
        <v>68077</v>
      </c>
      <c r="AO853" s="341" t="s">
        <v>161</v>
      </c>
      <c r="AP853" t="s">
        <v>1923</v>
      </c>
      <c r="AQ853">
        <v>68077</v>
      </c>
      <c r="AR853" s="350">
        <v>99.49</v>
      </c>
      <c r="AS853" s="350">
        <v>99.63</v>
      </c>
      <c r="AT853" s="350">
        <v>98.98</v>
      </c>
    </row>
    <row r="854" spans="38:46">
      <c r="AL854" s="346">
        <v>68</v>
      </c>
      <c r="AM854" s="342" t="s">
        <v>31</v>
      </c>
      <c r="AN854" s="346">
        <v>68079</v>
      </c>
      <c r="AO854" s="342" t="s">
        <v>190</v>
      </c>
      <c r="AP854" t="s">
        <v>1924</v>
      </c>
      <c r="AQ854">
        <v>68079</v>
      </c>
      <c r="AR854" s="350">
        <v>99.06</v>
      </c>
      <c r="AS854" s="350">
        <v>99.79</v>
      </c>
      <c r="AT854" s="350">
        <v>98.57</v>
      </c>
    </row>
    <row r="855" spans="38:46">
      <c r="AL855" s="345">
        <v>68</v>
      </c>
      <c r="AM855" s="341" t="s">
        <v>31</v>
      </c>
      <c r="AN855" s="345">
        <v>68081</v>
      </c>
      <c r="AO855" s="341" t="s">
        <v>218</v>
      </c>
      <c r="AP855" t="s">
        <v>1925</v>
      </c>
      <c r="AQ855">
        <v>68081</v>
      </c>
      <c r="AR855" s="350">
        <v>99.48</v>
      </c>
      <c r="AS855" s="350">
        <v>99.59</v>
      </c>
      <c r="AT855" s="350">
        <v>98.76</v>
      </c>
    </row>
    <row r="856" spans="38:46">
      <c r="AL856" s="346">
        <v>68</v>
      </c>
      <c r="AM856" s="342" t="s">
        <v>31</v>
      </c>
      <c r="AN856" s="346">
        <v>68092</v>
      </c>
      <c r="AO856" s="342" t="s">
        <v>247</v>
      </c>
      <c r="AP856" t="s">
        <v>1926</v>
      </c>
      <c r="AQ856">
        <v>68092</v>
      </c>
      <c r="AR856" s="350">
        <v>96.81</v>
      </c>
      <c r="AS856" s="350">
        <v>99.54</v>
      </c>
      <c r="AT856" s="350">
        <v>95.77</v>
      </c>
    </row>
    <row r="857" spans="38:46">
      <c r="AL857" s="345">
        <v>68</v>
      </c>
      <c r="AM857" s="341" t="s">
        <v>31</v>
      </c>
      <c r="AN857" s="345">
        <v>68101</v>
      </c>
      <c r="AO857" s="341" t="s">
        <v>10</v>
      </c>
      <c r="AP857" t="s">
        <v>1927</v>
      </c>
      <c r="AQ857">
        <v>68101</v>
      </c>
      <c r="AR857" s="350">
        <v>93.5</v>
      </c>
      <c r="AS857" s="350">
        <v>99.58</v>
      </c>
      <c r="AT857" s="350">
        <v>92.4</v>
      </c>
    </row>
    <row r="858" spans="38:46">
      <c r="AL858" s="346">
        <v>68</v>
      </c>
      <c r="AM858" s="342" t="s">
        <v>31</v>
      </c>
      <c r="AN858" s="346">
        <v>68121</v>
      </c>
      <c r="AO858" s="342" t="s">
        <v>315</v>
      </c>
      <c r="AP858" t="s">
        <v>1928</v>
      </c>
      <c r="AQ858">
        <v>68121</v>
      </c>
      <c r="AR858" s="350">
        <v>94.76</v>
      </c>
      <c r="AS858" s="350">
        <v>96.64</v>
      </c>
      <c r="AT858" s="350">
        <v>94.16</v>
      </c>
    </row>
    <row r="859" spans="38:46">
      <c r="AL859" s="345">
        <v>68</v>
      </c>
      <c r="AM859" s="341" t="s">
        <v>31</v>
      </c>
      <c r="AN859" s="345">
        <v>68132</v>
      </c>
      <c r="AO859" s="341" t="s">
        <v>349</v>
      </c>
      <c r="AP859" t="s">
        <v>1929</v>
      </c>
      <c r="AQ859">
        <v>68132</v>
      </c>
      <c r="AR859" s="350">
        <v>97.02</v>
      </c>
      <c r="AS859" s="350">
        <v>99.18</v>
      </c>
      <c r="AT859" s="350">
        <v>95.24</v>
      </c>
    </row>
    <row r="860" spans="38:46">
      <c r="AL860" s="346">
        <v>68</v>
      </c>
      <c r="AM860" s="342" t="s">
        <v>31</v>
      </c>
      <c r="AN860" s="346">
        <v>68147</v>
      </c>
      <c r="AO860" s="342" t="s">
        <v>372</v>
      </c>
      <c r="AP860" t="s">
        <v>1930</v>
      </c>
      <c r="AQ860">
        <v>68147</v>
      </c>
      <c r="AR860" s="350">
        <v>97.84</v>
      </c>
      <c r="AS860" s="350">
        <v>98.96</v>
      </c>
      <c r="AT860" s="350">
        <v>95.99</v>
      </c>
    </row>
    <row r="861" spans="38:46">
      <c r="AL861" s="345">
        <v>68</v>
      </c>
      <c r="AM861" s="341" t="s">
        <v>31</v>
      </c>
      <c r="AN861" s="345">
        <v>68152</v>
      </c>
      <c r="AO861" s="341" t="s">
        <v>396</v>
      </c>
      <c r="AP861" t="s">
        <v>1931</v>
      </c>
      <c r="AQ861">
        <v>68152</v>
      </c>
      <c r="AR861" s="350">
        <v>96.81</v>
      </c>
      <c r="AS861" s="350">
        <v>98.6</v>
      </c>
      <c r="AT861" s="350">
        <v>96.43</v>
      </c>
    </row>
    <row r="862" spans="38:46">
      <c r="AL862" s="346">
        <v>68</v>
      </c>
      <c r="AM862" s="342" t="s">
        <v>31</v>
      </c>
      <c r="AN862" s="346">
        <v>68160</v>
      </c>
      <c r="AO862" s="342" t="s">
        <v>418</v>
      </c>
      <c r="AP862" t="s">
        <v>1932</v>
      </c>
      <c r="AQ862">
        <v>68160</v>
      </c>
      <c r="AR862" s="350">
        <v>96.06</v>
      </c>
      <c r="AS862" s="350">
        <v>95</v>
      </c>
      <c r="AT862" s="350">
        <v>96.41</v>
      </c>
    </row>
    <row r="863" spans="38:46">
      <c r="AL863" s="345">
        <v>68</v>
      </c>
      <c r="AM863" s="341" t="s">
        <v>31</v>
      </c>
      <c r="AN863" s="345">
        <v>68162</v>
      </c>
      <c r="AO863" s="341" t="s">
        <v>440</v>
      </c>
      <c r="AP863" t="s">
        <v>1933</v>
      </c>
      <c r="AQ863">
        <v>68162</v>
      </c>
      <c r="AR863" s="350">
        <v>97.04</v>
      </c>
      <c r="AS863" s="350">
        <v>97.24</v>
      </c>
      <c r="AT863" s="350">
        <v>96.85</v>
      </c>
    </row>
    <row r="864" spans="38:46">
      <c r="AL864" s="346">
        <v>68</v>
      </c>
      <c r="AM864" s="342" t="s">
        <v>31</v>
      </c>
      <c r="AN864" s="346">
        <v>68167</v>
      </c>
      <c r="AO864" s="342" t="s">
        <v>462</v>
      </c>
      <c r="AP864" t="s">
        <v>1934</v>
      </c>
      <c r="AQ864">
        <v>68167</v>
      </c>
      <c r="AR864" s="350">
        <v>99.13</v>
      </c>
      <c r="AS864" s="350">
        <v>99.73</v>
      </c>
      <c r="AT864" s="350">
        <v>98.18</v>
      </c>
    </row>
    <row r="865" spans="38:46">
      <c r="AL865" s="345">
        <v>68</v>
      </c>
      <c r="AM865" s="341" t="s">
        <v>31</v>
      </c>
      <c r="AN865" s="345">
        <v>68169</v>
      </c>
      <c r="AO865" s="341" t="s">
        <v>482</v>
      </c>
      <c r="AP865" t="s">
        <v>1935</v>
      </c>
      <c r="AQ865">
        <v>68169</v>
      </c>
      <c r="AR865" s="350">
        <v>98.37</v>
      </c>
      <c r="AS865" s="350">
        <v>99.57</v>
      </c>
      <c r="AT865" s="350">
        <v>97.97</v>
      </c>
    </row>
    <row r="866" spans="38:46">
      <c r="AL866" s="346">
        <v>68</v>
      </c>
      <c r="AM866" s="342" t="s">
        <v>31</v>
      </c>
      <c r="AN866" s="346">
        <v>68176</v>
      </c>
      <c r="AO866" s="342" t="s">
        <v>502</v>
      </c>
      <c r="AP866" t="s">
        <v>1936</v>
      </c>
      <c r="AQ866">
        <v>68176</v>
      </c>
      <c r="AR866" s="350">
        <v>98.75</v>
      </c>
      <c r="AS866" s="350">
        <v>99.2</v>
      </c>
      <c r="AT866" s="350">
        <v>98.55</v>
      </c>
    </row>
    <row r="867" spans="38:46">
      <c r="AL867" s="345">
        <v>68</v>
      </c>
      <c r="AM867" s="341" t="s">
        <v>31</v>
      </c>
      <c r="AN867" s="345">
        <v>68179</v>
      </c>
      <c r="AO867" s="341" t="s">
        <v>522</v>
      </c>
      <c r="AP867" t="s">
        <v>1937</v>
      </c>
      <c r="AQ867">
        <v>68179</v>
      </c>
      <c r="AR867" s="350">
        <v>98.97</v>
      </c>
      <c r="AS867" s="350">
        <v>99.54</v>
      </c>
      <c r="AT867" s="350">
        <v>98.88</v>
      </c>
    </row>
    <row r="868" spans="38:46">
      <c r="AL868" s="346">
        <v>68</v>
      </c>
      <c r="AM868" s="342" t="s">
        <v>31</v>
      </c>
      <c r="AN868" s="346">
        <v>68190</v>
      </c>
      <c r="AO868" s="342" t="s">
        <v>539</v>
      </c>
      <c r="AP868" t="s">
        <v>1938</v>
      </c>
      <c r="AQ868">
        <v>68190</v>
      </c>
      <c r="AR868" s="350">
        <v>97.98</v>
      </c>
      <c r="AS868" s="350">
        <v>99.42</v>
      </c>
      <c r="AT868" s="350">
        <v>96.48</v>
      </c>
    </row>
    <row r="869" spans="38:46">
      <c r="AL869" s="345">
        <v>68</v>
      </c>
      <c r="AM869" s="341" t="s">
        <v>31</v>
      </c>
      <c r="AN869" s="345">
        <v>68207</v>
      </c>
      <c r="AO869" s="341" t="s">
        <v>557</v>
      </c>
      <c r="AP869" t="s">
        <v>1939</v>
      </c>
      <c r="AQ869">
        <v>68207</v>
      </c>
      <c r="AR869" s="350">
        <v>96.34</v>
      </c>
      <c r="AS869" s="350">
        <v>97.65</v>
      </c>
      <c r="AT869" s="350">
        <v>94.97</v>
      </c>
    </row>
    <row r="870" spans="38:46">
      <c r="AL870" s="346">
        <v>68</v>
      </c>
      <c r="AM870" s="342" t="s">
        <v>31</v>
      </c>
      <c r="AN870" s="346">
        <v>68209</v>
      </c>
      <c r="AO870" s="342" t="s">
        <v>576</v>
      </c>
      <c r="AP870" t="s">
        <v>1940</v>
      </c>
      <c r="AQ870">
        <v>68209</v>
      </c>
      <c r="AR870" s="350">
        <v>99.06</v>
      </c>
      <c r="AS870" s="350">
        <v>100</v>
      </c>
      <c r="AT870" s="350">
        <v>98.77</v>
      </c>
    </row>
    <row r="871" spans="38:46">
      <c r="AL871" s="345">
        <v>68</v>
      </c>
      <c r="AM871" s="341" t="s">
        <v>31</v>
      </c>
      <c r="AN871" s="345">
        <v>68211</v>
      </c>
      <c r="AO871" s="341" t="s">
        <v>596</v>
      </c>
      <c r="AP871" t="s">
        <v>1941</v>
      </c>
      <c r="AQ871">
        <v>68211</v>
      </c>
      <c r="AR871" s="350">
        <v>99.07</v>
      </c>
      <c r="AS871" s="350">
        <v>99.78</v>
      </c>
      <c r="AT871" s="350">
        <v>96.83</v>
      </c>
    </row>
    <row r="872" spans="38:46">
      <c r="AL872" s="346">
        <v>68</v>
      </c>
      <c r="AM872" s="342" t="s">
        <v>31</v>
      </c>
      <c r="AN872" s="346">
        <v>68217</v>
      </c>
      <c r="AO872" s="342" t="s">
        <v>613</v>
      </c>
      <c r="AP872" t="s">
        <v>1942</v>
      </c>
      <c r="AQ872">
        <v>68217</v>
      </c>
      <c r="AR872" s="350">
        <v>95.02</v>
      </c>
      <c r="AS872" s="350">
        <v>100</v>
      </c>
      <c r="AT872" s="350">
        <v>94.15</v>
      </c>
    </row>
    <row r="873" spans="38:46">
      <c r="AL873" s="345">
        <v>68</v>
      </c>
      <c r="AM873" s="341" t="s">
        <v>31</v>
      </c>
      <c r="AN873" s="345">
        <v>68229</v>
      </c>
      <c r="AO873" s="341" t="s">
        <v>629</v>
      </c>
      <c r="AP873" t="s">
        <v>1943</v>
      </c>
      <c r="AQ873">
        <v>68229</v>
      </c>
      <c r="AR873" s="350">
        <v>98.88</v>
      </c>
      <c r="AS873" s="350">
        <v>99.56</v>
      </c>
      <c r="AT873" s="350">
        <v>98.41</v>
      </c>
    </row>
    <row r="874" spans="38:46">
      <c r="AL874" s="346">
        <v>68</v>
      </c>
      <c r="AM874" s="342" t="s">
        <v>31</v>
      </c>
      <c r="AN874" s="346">
        <v>68235</v>
      </c>
      <c r="AO874" s="342" t="s">
        <v>646</v>
      </c>
      <c r="AP874" t="s">
        <v>1944</v>
      </c>
      <c r="AQ874">
        <v>68235</v>
      </c>
      <c r="AR874" s="350">
        <v>95.96</v>
      </c>
      <c r="AS874" s="350">
        <v>99.52</v>
      </c>
      <c r="AT874" s="350">
        <v>95.27</v>
      </c>
    </row>
    <row r="875" spans="38:46">
      <c r="AL875" s="345">
        <v>68</v>
      </c>
      <c r="AM875" s="341" t="s">
        <v>31</v>
      </c>
      <c r="AN875" s="345">
        <v>68245</v>
      </c>
      <c r="AO875" s="341" t="s">
        <v>662</v>
      </c>
      <c r="AP875" t="s">
        <v>1945</v>
      </c>
      <c r="AQ875">
        <v>68245</v>
      </c>
      <c r="AR875" s="350">
        <v>97.32</v>
      </c>
      <c r="AS875" s="350">
        <v>98.51</v>
      </c>
      <c r="AT875" s="350">
        <v>96.7</v>
      </c>
    </row>
    <row r="876" spans="38:46">
      <c r="AL876" s="346">
        <v>68</v>
      </c>
      <c r="AM876" s="342" t="s">
        <v>31</v>
      </c>
      <c r="AN876" s="346">
        <v>68250</v>
      </c>
      <c r="AO876" s="342" t="s">
        <v>424</v>
      </c>
      <c r="AP876" t="s">
        <v>1946</v>
      </c>
      <c r="AQ876">
        <v>68250</v>
      </c>
      <c r="AR876" s="350">
        <v>95.17</v>
      </c>
      <c r="AS876" s="350">
        <v>99.55</v>
      </c>
      <c r="AT876" s="350">
        <v>94.18</v>
      </c>
    </row>
    <row r="877" spans="38:46">
      <c r="AL877" s="345">
        <v>68</v>
      </c>
      <c r="AM877" s="341" t="s">
        <v>31</v>
      </c>
      <c r="AN877" s="345">
        <v>68255</v>
      </c>
      <c r="AO877" s="341" t="s">
        <v>692</v>
      </c>
      <c r="AP877" t="s">
        <v>1947</v>
      </c>
      <c r="AQ877">
        <v>68255</v>
      </c>
      <c r="AR877" s="350">
        <v>98.45</v>
      </c>
      <c r="AS877" s="350">
        <v>99.19</v>
      </c>
      <c r="AT877" s="350">
        <v>97.65</v>
      </c>
    </row>
    <row r="878" spans="38:46">
      <c r="AL878" s="346">
        <v>68</v>
      </c>
      <c r="AM878" s="342" t="s">
        <v>31</v>
      </c>
      <c r="AN878" s="346">
        <v>68264</v>
      </c>
      <c r="AO878" s="342" t="s">
        <v>707</v>
      </c>
      <c r="AP878" t="s">
        <v>1948</v>
      </c>
      <c r="AQ878">
        <v>68264</v>
      </c>
      <c r="AR878" s="350">
        <v>94.1</v>
      </c>
      <c r="AS878" s="350">
        <v>98.81</v>
      </c>
      <c r="AT878" s="350">
        <v>92.69</v>
      </c>
    </row>
    <row r="879" spans="38:46">
      <c r="AL879" s="345">
        <v>68</v>
      </c>
      <c r="AM879" s="341" t="s">
        <v>31</v>
      </c>
      <c r="AN879" s="345">
        <v>68266</v>
      </c>
      <c r="AO879" s="341" t="s">
        <v>719</v>
      </c>
      <c r="AP879" t="s">
        <v>1949</v>
      </c>
      <c r="AQ879">
        <v>68266</v>
      </c>
      <c r="AR879" s="350">
        <v>97.75</v>
      </c>
      <c r="AS879" s="350">
        <v>96.18</v>
      </c>
      <c r="AT879" s="350">
        <v>98.28</v>
      </c>
    </row>
    <row r="880" spans="38:46">
      <c r="AL880" s="346">
        <v>68</v>
      </c>
      <c r="AM880" s="342" t="s">
        <v>31</v>
      </c>
      <c r="AN880" s="346">
        <v>68271</v>
      </c>
      <c r="AO880" s="342" t="s">
        <v>730</v>
      </c>
      <c r="AP880" t="s">
        <v>1950</v>
      </c>
      <c r="AQ880">
        <v>68271</v>
      </c>
      <c r="AR880" s="350">
        <v>97.87</v>
      </c>
      <c r="AS880" s="350">
        <v>99.31</v>
      </c>
      <c r="AT880" s="350">
        <v>97.31</v>
      </c>
    </row>
    <row r="881" spans="38:46">
      <c r="AL881" s="345">
        <v>68</v>
      </c>
      <c r="AM881" s="341" t="s">
        <v>31</v>
      </c>
      <c r="AN881" s="345">
        <v>68276</v>
      </c>
      <c r="AO881" s="341" t="s">
        <v>740</v>
      </c>
      <c r="AP881" t="s">
        <v>1951</v>
      </c>
      <c r="AQ881">
        <v>68276</v>
      </c>
      <c r="AR881" s="350">
        <v>99.79</v>
      </c>
      <c r="AS881" s="350">
        <v>99.82</v>
      </c>
      <c r="AT881" s="350">
        <v>99.07</v>
      </c>
    </row>
    <row r="882" spans="38:46">
      <c r="AL882" s="346">
        <v>68</v>
      </c>
      <c r="AM882" s="342" t="s">
        <v>31</v>
      </c>
      <c r="AN882" s="346">
        <v>68296</v>
      </c>
      <c r="AO882" s="342" t="s">
        <v>752</v>
      </c>
      <c r="AP882" t="s">
        <v>1952</v>
      </c>
      <c r="AQ882">
        <v>68296</v>
      </c>
      <c r="AR882" s="350">
        <v>96.22</v>
      </c>
      <c r="AS882" s="350">
        <v>97.13</v>
      </c>
      <c r="AT882" s="350">
        <v>95.78</v>
      </c>
    </row>
    <row r="883" spans="38:46">
      <c r="AL883" s="345">
        <v>68</v>
      </c>
      <c r="AM883" s="341" t="s">
        <v>31</v>
      </c>
      <c r="AN883" s="345">
        <v>68298</v>
      </c>
      <c r="AO883" s="341" t="s">
        <v>764</v>
      </c>
      <c r="AP883" t="s">
        <v>1953</v>
      </c>
      <c r="AQ883">
        <v>68298</v>
      </c>
      <c r="AR883" s="350">
        <v>94.11</v>
      </c>
      <c r="AS883" s="350">
        <v>100</v>
      </c>
      <c r="AT883" s="350">
        <v>92.86</v>
      </c>
    </row>
    <row r="884" spans="38:46">
      <c r="AL884" s="346">
        <v>68</v>
      </c>
      <c r="AM884" s="342" t="s">
        <v>31</v>
      </c>
      <c r="AN884" s="346">
        <v>68307</v>
      </c>
      <c r="AO884" s="342" t="s">
        <v>775</v>
      </c>
      <c r="AP884" t="s">
        <v>1954</v>
      </c>
      <c r="AQ884">
        <v>68307</v>
      </c>
      <c r="AR884" s="350">
        <v>99.29</v>
      </c>
      <c r="AS884" s="350">
        <v>99.66</v>
      </c>
      <c r="AT884" s="350">
        <v>96.55</v>
      </c>
    </row>
    <row r="885" spans="38:46">
      <c r="AL885" s="345">
        <v>68</v>
      </c>
      <c r="AM885" s="341" t="s">
        <v>31</v>
      </c>
      <c r="AN885" s="345">
        <v>68318</v>
      </c>
      <c r="AO885" s="341" t="s">
        <v>784</v>
      </c>
      <c r="AP885" t="s">
        <v>1955</v>
      </c>
      <c r="AQ885">
        <v>68318</v>
      </c>
      <c r="AR885" s="350">
        <v>98.92</v>
      </c>
      <c r="AS885" s="350">
        <v>99.55</v>
      </c>
      <c r="AT885" s="350">
        <v>98.69</v>
      </c>
    </row>
    <row r="886" spans="38:46">
      <c r="AL886" s="346">
        <v>68</v>
      </c>
      <c r="AM886" s="342" t="s">
        <v>31</v>
      </c>
      <c r="AN886" s="346">
        <v>68320</v>
      </c>
      <c r="AO886" s="342" t="s">
        <v>365</v>
      </c>
      <c r="AP886" t="s">
        <v>1956</v>
      </c>
      <c r="AQ886">
        <v>68320</v>
      </c>
      <c r="AR886" s="350">
        <v>96.95</v>
      </c>
      <c r="AS886" s="350">
        <v>100</v>
      </c>
      <c r="AT886" s="350">
        <v>94.96</v>
      </c>
    </row>
    <row r="887" spans="38:46">
      <c r="AL887" s="345">
        <v>68</v>
      </c>
      <c r="AM887" s="341" t="s">
        <v>31</v>
      </c>
      <c r="AN887" s="345">
        <v>68322</v>
      </c>
      <c r="AO887" s="341" t="s">
        <v>804</v>
      </c>
      <c r="AP887" t="s">
        <v>1957</v>
      </c>
      <c r="AQ887">
        <v>68322</v>
      </c>
      <c r="AR887" s="350">
        <v>98.99</v>
      </c>
      <c r="AS887" s="350">
        <v>98.48</v>
      </c>
      <c r="AT887" s="350">
        <v>99.19</v>
      </c>
    </row>
    <row r="888" spans="38:46">
      <c r="AL888" s="346">
        <v>68</v>
      </c>
      <c r="AM888" s="342" t="s">
        <v>31</v>
      </c>
      <c r="AN888" s="346">
        <v>68324</v>
      </c>
      <c r="AO888" s="342" t="s">
        <v>814</v>
      </c>
      <c r="AP888" t="s">
        <v>1958</v>
      </c>
      <c r="AQ888">
        <v>68324</v>
      </c>
      <c r="AR888" s="350">
        <v>98.66</v>
      </c>
      <c r="AS888" s="350">
        <v>99.73</v>
      </c>
      <c r="AT888" s="350">
        <v>98.27</v>
      </c>
    </row>
    <row r="889" spans="38:46">
      <c r="AL889" s="345">
        <v>68</v>
      </c>
      <c r="AM889" s="341" t="s">
        <v>31</v>
      </c>
      <c r="AN889" s="345">
        <v>68327</v>
      </c>
      <c r="AO889" s="341" t="s">
        <v>824</v>
      </c>
      <c r="AP889" t="s">
        <v>1959</v>
      </c>
      <c r="AQ889">
        <v>68327</v>
      </c>
      <c r="AR889" s="350">
        <v>98.98</v>
      </c>
      <c r="AS889" s="350">
        <v>99.17</v>
      </c>
      <c r="AT889" s="350">
        <v>98.67</v>
      </c>
    </row>
    <row r="890" spans="38:46">
      <c r="AL890" s="346">
        <v>68</v>
      </c>
      <c r="AM890" s="342" t="s">
        <v>31</v>
      </c>
      <c r="AN890" s="346">
        <v>68344</v>
      </c>
      <c r="AO890" s="342" t="s">
        <v>834</v>
      </c>
      <c r="AP890" t="s">
        <v>1960</v>
      </c>
      <c r="AQ890">
        <v>68344</v>
      </c>
      <c r="AR890" s="350">
        <v>97.01</v>
      </c>
      <c r="AS890" s="350">
        <v>99.54</v>
      </c>
      <c r="AT890" s="350">
        <v>95.79</v>
      </c>
    </row>
    <row r="891" spans="38:46">
      <c r="AL891" s="345">
        <v>68</v>
      </c>
      <c r="AM891" s="341" t="s">
        <v>31</v>
      </c>
      <c r="AN891" s="345">
        <v>68368</v>
      </c>
      <c r="AO891" s="341" t="s">
        <v>842</v>
      </c>
      <c r="AP891" t="s">
        <v>1961</v>
      </c>
      <c r="AQ891">
        <v>68368</v>
      </c>
      <c r="AR891" s="350">
        <v>98.87</v>
      </c>
      <c r="AS891" s="350">
        <v>99.57</v>
      </c>
      <c r="AT891" s="350">
        <v>98.68</v>
      </c>
    </row>
    <row r="892" spans="38:46">
      <c r="AL892" s="346">
        <v>68</v>
      </c>
      <c r="AM892" s="342" t="s">
        <v>31</v>
      </c>
      <c r="AN892" s="346">
        <v>68370</v>
      </c>
      <c r="AO892" s="342" t="s">
        <v>849</v>
      </c>
      <c r="AP892" t="s">
        <v>1962</v>
      </c>
      <c r="AQ892">
        <v>68370</v>
      </c>
      <c r="AR892" s="350">
        <v>98.45</v>
      </c>
      <c r="AS892" s="350">
        <v>100</v>
      </c>
      <c r="AT892" s="350">
        <v>98.29</v>
      </c>
    </row>
    <row r="893" spans="38:46">
      <c r="AL893" s="345">
        <v>68</v>
      </c>
      <c r="AM893" s="341" t="s">
        <v>31</v>
      </c>
      <c r="AN893" s="345">
        <v>68377</v>
      </c>
      <c r="AO893" s="341" t="s">
        <v>856</v>
      </c>
      <c r="AP893" t="s">
        <v>1963</v>
      </c>
      <c r="AQ893">
        <v>68377</v>
      </c>
      <c r="AR893" s="350">
        <v>95.18</v>
      </c>
      <c r="AS893" s="350">
        <v>98.55</v>
      </c>
      <c r="AT893" s="350">
        <v>93.9</v>
      </c>
    </row>
    <row r="894" spans="38:46">
      <c r="AL894" s="346">
        <v>68</v>
      </c>
      <c r="AM894" s="342" t="s">
        <v>31</v>
      </c>
      <c r="AN894" s="346">
        <v>68385</v>
      </c>
      <c r="AO894" s="342" t="s">
        <v>869</v>
      </c>
      <c r="AP894" t="s">
        <v>1964</v>
      </c>
      <c r="AQ894">
        <v>68385</v>
      </c>
      <c r="AR894" s="350">
        <v>96.97</v>
      </c>
      <c r="AS894" s="350">
        <v>97.98</v>
      </c>
      <c r="AT894" s="350">
        <v>96.46</v>
      </c>
    </row>
    <row r="895" spans="38:46">
      <c r="AL895" s="345">
        <v>68</v>
      </c>
      <c r="AM895" s="341" t="s">
        <v>31</v>
      </c>
      <c r="AN895" s="345">
        <v>68397</v>
      </c>
      <c r="AO895" s="341" t="s">
        <v>430</v>
      </c>
      <c r="AP895" t="s">
        <v>1965</v>
      </c>
      <c r="AQ895">
        <v>68397</v>
      </c>
      <c r="AR895" s="350">
        <v>98.72</v>
      </c>
      <c r="AS895" s="350">
        <v>99.16</v>
      </c>
      <c r="AT895" s="350">
        <v>98.63</v>
      </c>
    </row>
    <row r="896" spans="38:46">
      <c r="AL896" s="346">
        <v>68</v>
      </c>
      <c r="AM896" s="342" t="s">
        <v>31</v>
      </c>
      <c r="AN896" s="346">
        <v>68406</v>
      </c>
      <c r="AO896" s="342" t="s">
        <v>875</v>
      </c>
      <c r="AP896" t="s">
        <v>1966</v>
      </c>
      <c r="AQ896">
        <v>68406</v>
      </c>
      <c r="AR896" s="350">
        <v>99.05</v>
      </c>
      <c r="AS896" s="350">
        <v>98.86</v>
      </c>
      <c r="AT896" s="350">
        <v>99.23</v>
      </c>
    </row>
    <row r="897" spans="38:46">
      <c r="AL897" s="345">
        <v>68</v>
      </c>
      <c r="AM897" s="341" t="s">
        <v>31</v>
      </c>
      <c r="AN897" s="345">
        <v>68418</v>
      </c>
      <c r="AO897" s="341" t="s">
        <v>881</v>
      </c>
      <c r="AP897" t="s">
        <v>1967</v>
      </c>
      <c r="AQ897">
        <v>68418</v>
      </c>
      <c r="AR897" s="350">
        <v>96.9</v>
      </c>
      <c r="AS897" s="350">
        <v>94.27</v>
      </c>
      <c r="AT897" s="350">
        <v>97.31</v>
      </c>
    </row>
    <row r="898" spans="38:46">
      <c r="AL898" s="346">
        <v>68</v>
      </c>
      <c r="AM898" s="342" t="s">
        <v>31</v>
      </c>
      <c r="AN898" s="346">
        <v>68425</v>
      </c>
      <c r="AO898" s="342" t="s">
        <v>887</v>
      </c>
      <c r="AP898" t="s">
        <v>1968</v>
      </c>
      <c r="AQ898">
        <v>68425</v>
      </c>
      <c r="AR898" s="350">
        <v>92.41</v>
      </c>
      <c r="AS898" s="350">
        <v>97.09</v>
      </c>
      <c r="AT898" s="350">
        <v>91.56</v>
      </c>
    </row>
    <row r="899" spans="38:46">
      <c r="AL899" s="345">
        <v>68</v>
      </c>
      <c r="AM899" s="341" t="s">
        <v>31</v>
      </c>
      <c r="AN899" s="345">
        <v>68432</v>
      </c>
      <c r="AO899" s="341" t="s">
        <v>893</v>
      </c>
      <c r="AP899" t="s">
        <v>1969</v>
      </c>
      <c r="AQ899">
        <v>68432</v>
      </c>
      <c r="AR899" s="350">
        <v>99.64</v>
      </c>
      <c r="AS899" s="350">
        <v>99.68</v>
      </c>
      <c r="AT899" s="350">
        <v>99.37</v>
      </c>
    </row>
    <row r="900" spans="38:46">
      <c r="AL900" s="346">
        <v>68</v>
      </c>
      <c r="AM900" s="342" t="s">
        <v>31</v>
      </c>
      <c r="AN900" s="346">
        <v>68444</v>
      </c>
      <c r="AO900" s="342" t="s">
        <v>897</v>
      </c>
      <c r="AP900" t="s">
        <v>1970</v>
      </c>
      <c r="AQ900">
        <v>68444</v>
      </c>
      <c r="AR900" s="350">
        <v>96.84</v>
      </c>
      <c r="AS900" s="350">
        <v>98.88</v>
      </c>
      <c r="AT900" s="350">
        <v>95.94</v>
      </c>
    </row>
    <row r="901" spans="38:46">
      <c r="AL901" s="345">
        <v>68</v>
      </c>
      <c r="AM901" s="341" t="s">
        <v>31</v>
      </c>
      <c r="AN901" s="345">
        <v>68464</v>
      </c>
      <c r="AO901" s="341" t="s">
        <v>901</v>
      </c>
      <c r="AP901" t="s">
        <v>1971</v>
      </c>
      <c r="AQ901">
        <v>68464</v>
      </c>
      <c r="AR901" s="350">
        <v>98.45</v>
      </c>
      <c r="AS901" s="350">
        <v>99.34</v>
      </c>
      <c r="AT901" s="350">
        <v>97.82</v>
      </c>
    </row>
    <row r="902" spans="38:46">
      <c r="AL902" s="346">
        <v>68</v>
      </c>
      <c r="AM902" s="342" t="s">
        <v>31</v>
      </c>
      <c r="AN902" s="346">
        <v>68468</v>
      </c>
      <c r="AO902" s="342" t="s">
        <v>907</v>
      </c>
      <c r="AP902" t="s">
        <v>1972</v>
      </c>
      <c r="AQ902">
        <v>68468</v>
      </c>
      <c r="AR902" s="350">
        <v>98.76</v>
      </c>
      <c r="AS902" s="350">
        <v>100</v>
      </c>
      <c r="AT902" s="350">
        <v>98.5</v>
      </c>
    </row>
    <row r="903" spans="38:46">
      <c r="AL903" s="345">
        <v>68</v>
      </c>
      <c r="AM903" s="341" t="s">
        <v>31</v>
      </c>
      <c r="AN903" s="345">
        <v>68498</v>
      </c>
      <c r="AO903" s="341" t="s">
        <v>912</v>
      </c>
      <c r="AP903" t="s">
        <v>1973</v>
      </c>
      <c r="AQ903">
        <v>68498</v>
      </c>
      <c r="AR903" s="350">
        <v>97.4</v>
      </c>
      <c r="AS903" s="350">
        <v>98.85</v>
      </c>
      <c r="AT903" s="350">
        <v>97.07</v>
      </c>
    </row>
    <row r="904" spans="38:46">
      <c r="AL904" s="346">
        <v>68</v>
      </c>
      <c r="AM904" s="342" t="s">
        <v>31</v>
      </c>
      <c r="AN904" s="346">
        <v>68500</v>
      </c>
      <c r="AO904" s="342" t="s">
        <v>918</v>
      </c>
      <c r="AP904" t="s">
        <v>1974</v>
      </c>
      <c r="AQ904">
        <v>68500</v>
      </c>
      <c r="AR904" s="350">
        <v>97.74</v>
      </c>
      <c r="AS904" s="350">
        <v>99.34</v>
      </c>
      <c r="AT904" s="350">
        <v>96.38</v>
      </c>
    </row>
    <row r="905" spans="38:46">
      <c r="AL905" s="345">
        <v>68</v>
      </c>
      <c r="AM905" s="341" t="s">
        <v>31</v>
      </c>
      <c r="AN905" s="345">
        <v>68502</v>
      </c>
      <c r="AO905" s="341" t="s">
        <v>924</v>
      </c>
      <c r="AP905" t="s">
        <v>1975</v>
      </c>
      <c r="AQ905">
        <v>68502</v>
      </c>
      <c r="AR905" s="350">
        <v>94.85</v>
      </c>
      <c r="AS905" s="350">
        <v>99.29</v>
      </c>
      <c r="AT905" s="350">
        <v>92.86</v>
      </c>
    </row>
    <row r="906" spans="38:46">
      <c r="AL906" s="346">
        <v>68</v>
      </c>
      <c r="AM906" s="342" t="s">
        <v>31</v>
      </c>
      <c r="AN906" s="346">
        <v>68522</v>
      </c>
      <c r="AO906" s="342" t="s">
        <v>930</v>
      </c>
      <c r="AP906" t="s">
        <v>1976</v>
      </c>
      <c r="AQ906">
        <v>68522</v>
      </c>
      <c r="AR906" s="350">
        <v>98.51</v>
      </c>
      <c r="AS906" s="350">
        <v>98.15</v>
      </c>
      <c r="AT906" s="350">
        <v>98.76</v>
      </c>
    </row>
    <row r="907" spans="38:46">
      <c r="AL907" s="345">
        <v>68</v>
      </c>
      <c r="AM907" s="341" t="s">
        <v>31</v>
      </c>
      <c r="AN907" s="345">
        <v>68524</v>
      </c>
      <c r="AO907" s="341" t="s">
        <v>935</v>
      </c>
      <c r="AP907" t="s">
        <v>1977</v>
      </c>
      <c r="AQ907">
        <v>68524</v>
      </c>
      <c r="AR907" s="350">
        <v>99.24</v>
      </c>
      <c r="AS907" s="350">
        <v>99.58</v>
      </c>
      <c r="AT907" s="350">
        <v>99.09</v>
      </c>
    </row>
    <row r="908" spans="38:46">
      <c r="AL908" s="346">
        <v>68</v>
      </c>
      <c r="AM908" s="342" t="s">
        <v>31</v>
      </c>
      <c r="AN908" s="346">
        <v>68533</v>
      </c>
      <c r="AO908" s="342" t="s">
        <v>940</v>
      </c>
      <c r="AP908" t="s">
        <v>1978</v>
      </c>
      <c r="AQ908">
        <v>68533</v>
      </c>
      <c r="AR908" s="350">
        <v>98.11</v>
      </c>
      <c r="AS908" s="350">
        <v>98.87</v>
      </c>
      <c r="AT908" s="350">
        <v>97.8</v>
      </c>
    </row>
    <row r="909" spans="38:46">
      <c r="AL909" s="345">
        <v>68</v>
      </c>
      <c r="AM909" s="341" t="s">
        <v>31</v>
      </c>
      <c r="AN909" s="345">
        <v>68547</v>
      </c>
      <c r="AO909" s="341" t="s">
        <v>945</v>
      </c>
      <c r="AP909" t="s">
        <v>1979</v>
      </c>
      <c r="AQ909">
        <v>68547</v>
      </c>
      <c r="AR909" s="350">
        <v>99.72</v>
      </c>
      <c r="AS909" s="350">
        <v>99.86</v>
      </c>
      <c r="AT909" s="350">
        <v>99.16</v>
      </c>
    </row>
    <row r="910" spans="38:46">
      <c r="AL910" s="346">
        <v>68</v>
      </c>
      <c r="AM910" s="342" t="s">
        <v>31</v>
      </c>
      <c r="AN910" s="346">
        <v>68549</v>
      </c>
      <c r="AO910" s="342" t="s">
        <v>951</v>
      </c>
      <c r="AP910" t="s">
        <v>1980</v>
      </c>
      <c r="AQ910">
        <v>68549</v>
      </c>
      <c r="AR910" s="350">
        <v>99.16</v>
      </c>
      <c r="AS910" s="350">
        <v>100</v>
      </c>
      <c r="AT910" s="350">
        <v>98.93</v>
      </c>
    </row>
    <row r="911" spans="38:46">
      <c r="AL911" s="345">
        <v>68</v>
      </c>
      <c r="AM911" s="341" t="s">
        <v>31</v>
      </c>
      <c r="AN911" s="345">
        <v>68572</v>
      </c>
      <c r="AO911" s="341" t="s">
        <v>956</v>
      </c>
      <c r="AP911" t="s">
        <v>1981</v>
      </c>
      <c r="AQ911">
        <v>68572</v>
      </c>
      <c r="AR911" s="350">
        <v>98.98</v>
      </c>
      <c r="AS911" s="350">
        <v>99.59</v>
      </c>
      <c r="AT911" s="350">
        <v>98.58</v>
      </c>
    </row>
    <row r="912" spans="38:46">
      <c r="AL912" s="346">
        <v>68</v>
      </c>
      <c r="AM912" s="342" t="s">
        <v>31</v>
      </c>
      <c r="AN912" s="346">
        <v>68573</v>
      </c>
      <c r="AO912" s="342" t="s">
        <v>962</v>
      </c>
      <c r="AP912" t="s">
        <v>1982</v>
      </c>
      <c r="AQ912">
        <v>68573</v>
      </c>
      <c r="AR912" s="350">
        <v>99.04</v>
      </c>
      <c r="AS912" s="350">
        <v>99.21</v>
      </c>
      <c r="AT912" s="350">
        <v>98.94</v>
      </c>
    </row>
    <row r="913" spans="38:46">
      <c r="AL913" s="345">
        <v>68</v>
      </c>
      <c r="AM913" s="341" t="s">
        <v>31</v>
      </c>
      <c r="AN913" s="345">
        <v>68575</v>
      </c>
      <c r="AO913" s="341" t="s">
        <v>966</v>
      </c>
      <c r="AP913" t="s">
        <v>1983</v>
      </c>
      <c r="AQ913">
        <v>68575</v>
      </c>
      <c r="AR913" s="350">
        <v>97.36</v>
      </c>
      <c r="AS913" s="350">
        <v>99.33</v>
      </c>
      <c r="AT913" s="350">
        <v>95.43</v>
      </c>
    </row>
    <row r="914" spans="38:46">
      <c r="AL914" s="346">
        <v>68</v>
      </c>
      <c r="AM914" s="342" t="s">
        <v>31</v>
      </c>
      <c r="AN914" s="346">
        <v>68615</v>
      </c>
      <c r="AO914" s="342" t="s">
        <v>971</v>
      </c>
      <c r="AP914" t="s">
        <v>1984</v>
      </c>
      <c r="AQ914">
        <v>68615</v>
      </c>
      <c r="AR914" s="350">
        <v>99.07</v>
      </c>
      <c r="AS914" s="350">
        <v>99.72</v>
      </c>
      <c r="AT914" s="350">
        <v>98.87</v>
      </c>
    </row>
    <row r="915" spans="38:46">
      <c r="AL915" s="345">
        <v>68</v>
      </c>
      <c r="AM915" s="341" t="s">
        <v>31</v>
      </c>
      <c r="AN915" s="345">
        <v>68655</v>
      </c>
      <c r="AO915" s="341" t="s">
        <v>976</v>
      </c>
      <c r="AP915" t="s">
        <v>1985</v>
      </c>
      <c r="AQ915">
        <v>68655</v>
      </c>
      <c r="AR915" s="350">
        <v>97.95</v>
      </c>
      <c r="AS915" s="350">
        <v>98.93</v>
      </c>
      <c r="AT915" s="350">
        <v>95.96</v>
      </c>
    </row>
    <row r="916" spans="38:46">
      <c r="AL916" s="346">
        <v>68</v>
      </c>
      <c r="AM916" s="342" t="s">
        <v>31</v>
      </c>
      <c r="AN916" s="346">
        <v>68669</v>
      </c>
      <c r="AO916" s="342" t="s">
        <v>80</v>
      </c>
      <c r="AP916" t="s">
        <v>1986</v>
      </c>
      <c r="AQ916">
        <v>68669</v>
      </c>
      <c r="AR916" s="350">
        <v>98.76</v>
      </c>
      <c r="AS916" s="350">
        <v>97.97</v>
      </c>
      <c r="AT916" s="350">
        <v>99.21</v>
      </c>
    </row>
    <row r="917" spans="38:46">
      <c r="AL917" s="345">
        <v>68</v>
      </c>
      <c r="AM917" s="341" t="s">
        <v>31</v>
      </c>
      <c r="AN917" s="345">
        <v>68673</v>
      </c>
      <c r="AO917" s="341" t="s">
        <v>984</v>
      </c>
      <c r="AP917" t="s">
        <v>1987</v>
      </c>
      <c r="AQ917">
        <v>68673</v>
      </c>
      <c r="AR917" s="350">
        <v>98.24</v>
      </c>
      <c r="AS917" s="350">
        <v>98.8</v>
      </c>
      <c r="AT917" s="350">
        <v>98.18</v>
      </c>
    </row>
    <row r="918" spans="38:46">
      <c r="AL918" s="346">
        <v>68</v>
      </c>
      <c r="AM918" s="342" t="s">
        <v>31</v>
      </c>
      <c r="AN918" s="346">
        <v>68679</v>
      </c>
      <c r="AO918" s="342" t="s">
        <v>989</v>
      </c>
      <c r="AP918" t="s">
        <v>1988</v>
      </c>
      <c r="AQ918">
        <v>68679</v>
      </c>
      <c r="AR918" s="350">
        <v>99.56</v>
      </c>
      <c r="AS918" s="350">
        <v>99.6</v>
      </c>
      <c r="AT918" s="350">
        <v>99.19</v>
      </c>
    </row>
    <row r="919" spans="38:46">
      <c r="AL919" s="345">
        <v>68</v>
      </c>
      <c r="AM919" s="341" t="s">
        <v>31</v>
      </c>
      <c r="AN919" s="345">
        <v>68682</v>
      </c>
      <c r="AO919" s="341" t="s">
        <v>994</v>
      </c>
      <c r="AP919" t="s">
        <v>1989</v>
      </c>
      <c r="AQ919">
        <v>68682</v>
      </c>
      <c r="AR919" s="350">
        <v>96.52</v>
      </c>
      <c r="AS919" s="350">
        <v>98.5</v>
      </c>
      <c r="AT919" s="350">
        <v>95.35</v>
      </c>
    </row>
    <row r="920" spans="38:46">
      <c r="AL920" s="346">
        <v>68</v>
      </c>
      <c r="AM920" s="342" t="s">
        <v>31</v>
      </c>
      <c r="AN920" s="346">
        <v>68684</v>
      </c>
      <c r="AO920" s="342" t="s">
        <v>999</v>
      </c>
      <c r="AP920" t="s">
        <v>1990</v>
      </c>
      <c r="AQ920">
        <v>68684</v>
      </c>
      <c r="AR920" s="350">
        <v>98.62</v>
      </c>
      <c r="AS920" s="350">
        <v>98.92</v>
      </c>
      <c r="AT920" s="350">
        <v>98.54</v>
      </c>
    </row>
    <row r="921" spans="38:46">
      <c r="AL921" s="345">
        <v>68</v>
      </c>
      <c r="AM921" s="341" t="s">
        <v>31</v>
      </c>
      <c r="AN921" s="345">
        <v>68686</v>
      </c>
      <c r="AO921" s="341" t="s">
        <v>296</v>
      </c>
      <c r="AP921" t="s">
        <v>1991</v>
      </c>
      <c r="AQ921">
        <v>68686</v>
      </c>
      <c r="AR921" s="350">
        <v>98.73</v>
      </c>
      <c r="AS921" s="350">
        <v>99.52</v>
      </c>
      <c r="AT921" s="350">
        <v>98.44</v>
      </c>
    </row>
    <row r="922" spans="38:46">
      <c r="AL922" s="346">
        <v>68</v>
      </c>
      <c r="AM922" s="342" t="s">
        <v>31</v>
      </c>
      <c r="AN922" s="346">
        <v>68689</v>
      </c>
      <c r="AO922" s="342" t="s">
        <v>1007</v>
      </c>
      <c r="AP922" t="s">
        <v>1992</v>
      </c>
      <c r="AQ922">
        <v>68689</v>
      </c>
      <c r="AR922" s="350">
        <v>98.51</v>
      </c>
      <c r="AS922" s="350">
        <v>99.55</v>
      </c>
      <c r="AT922" s="350">
        <v>97.9</v>
      </c>
    </row>
    <row r="923" spans="38:46">
      <c r="AL923" s="345">
        <v>68</v>
      </c>
      <c r="AM923" s="341" t="s">
        <v>31</v>
      </c>
      <c r="AN923" s="345">
        <v>68705</v>
      </c>
      <c r="AO923" s="341" t="s">
        <v>929</v>
      </c>
      <c r="AP923" t="s">
        <v>1993</v>
      </c>
      <c r="AQ923">
        <v>68705</v>
      </c>
      <c r="AR923" s="350">
        <v>95.95</v>
      </c>
      <c r="AS923" s="350">
        <v>98.77</v>
      </c>
      <c r="AT923" s="350">
        <v>95.59</v>
      </c>
    </row>
    <row r="924" spans="38:46">
      <c r="AL924" s="346">
        <v>68</v>
      </c>
      <c r="AM924" s="342" t="s">
        <v>31</v>
      </c>
      <c r="AN924" s="346">
        <v>68720</v>
      </c>
      <c r="AO924" s="342" t="s">
        <v>1015</v>
      </c>
      <c r="AP924" t="s">
        <v>1994</v>
      </c>
      <c r="AQ924">
        <v>68720</v>
      </c>
      <c r="AR924" s="350">
        <v>97.9</v>
      </c>
      <c r="AS924" s="350">
        <v>99.63</v>
      </c>
      <c r="AT924" s="350">
        <v>97.34</v>
      </c>
    </row>
    <row r="925" spans="38:46">
      <c r="AL925" s="345">
        <v>68</v>
      </c>
      <c r="AM925" s="341" t="s">
        <v>31</v>
      </c>
      <c r="AN925" s="345">
        <v>68745</v>
      </c>
      <c r="AO925" s="341" t="s">
        <v>1019</v>
      </c>
      <c r="AP925" t="s">
        <v>1995</v>
      </c>
      <c r="AQ925">
        <v>68745</v>
      </c>
      <c r="AR925" s="350">
        <v>97.22</v>
      </c>
      <c r="AS925" s="350">
        <v>99.69</v>
      </c>
      <c r="AT925" s="350">
        <v>96.31</v>
      </c>
    </row>
    <row r="926" spans="38:46">
      <c r="AL926" s="346">
        <v>68</v>
      </c>
      <c r="AM926" s="342" t="s">
        <v>31</v>
      </c>
      <c r="AN926" s="346">
        <v>68755</v>
      </c>
      <c r="AO926" s="342" t="s">
        <v>1023</v>
      </c>
      <c r="AP926" t="s">
        <v>1996</v>
      </c>
      <c r="AQ926">
        <v>68755</v>
      </c>
      <c r="AR926" s="350">
        <v>99.73</v>
      </c>
      <c r="AS926" s="350">
        <v>99.76</v>
      </c>
      <c r="AT926" s="350">
        <v>99.61</v>
      </c>
    </row>
    <row r="927" spans="38:46">
      <c r="AL927" s="345">
        <v>68</v>
      </c>
      <c r="AM927" s="341" t="s">
        <v>31</v>
      </c>
      <c r="AN927" s="345">
        <v>68770</v>
      </c>
      <c r="AO927" s="341" t="s">
        <v>1027</v>
      </c>
      <c r="AP927" t="s">
        <v>1997</v>
      </c>
      <c r="AQ927">
        <v>68770</v>
      </c>
      <c r="AR927" s="350">
        <v>98.69</v>
      </c>
      <c r="AS927" s="350">
        <v>99.44</v>
      </c>
      <c r="AT927" s="350">
        <v>98.47</v>
      </c>
    </row>
    <row r="928" spans="38:46">
      <c r="AL928" s="346">
        <v>68</v>
      </c>
      <c r="AM928" s="342" t="s">
        <v>31</v>
      </c>
      <c r="AN928" s="346">
        <v>68773</v>
      </c>
      <c r="AO928" s="342" t="s">
        <v>32</v>
      </c>
      <c r="AP928" t="s">
        <v>1998</v>
      </c>
      <c r="AQ928">
        <v>68773</v>
      </c>
      <c r="AR928" s="350">
        <v>96.16</v>
      </c>
      <c r="AS928" s="350">
        <v>100</v>
      </c>
      <c r="AT928" s="350">
        <v>95.8</v>
      </c>
    </row>
    <row r="929" spans="38:46">
      <c r="AL929" s="345">
        <v>68</v>
      </c>
      <c r="AM929" s="341" t="s">
        <v>31</v>
      </c>
      <c r="AN929" s="345">
        <v>68780</v>
      </c>
      <c r="AO929" s="341" t="s">
        <v>1036</v>
      </c>
      <c r="AP929" t="s">
        <v>1999</v>
      </c>
      <c r="AQ929">
        <v>68780</v>
      </c>
      <c r="AR929" s="350">
        <v>97.2</v>
      </c>
      <c r="AS929" s="350">
        <v>99.29</v>
      </c>
      <c r="AT929" s="350">
        <v>96.45</v>
      </c>
    </row>
    <row r="930" spans="38:46">
      <c r="AL930" s="346">
        <v>68</v>
      </c>
      <c r="AM930" s="342" t="s">
        <v>31</v>
      </c>
      <c r="AN930" s="346">
        <v>68820</v>
      </c>
      <c r="AO930" s="342" t="s">
        <v>1041</v>
      </c>
      <c r="AP930" t="s">
        <v>2000</v>
      </c>
      <c r="AQ930">
        <v>68820</v>
      </c>
      <c r="AR930" s="350">
        <v>99.13</v>
      </c>
      <c r="AS930" s="350">
        <v>99.48</v>
      </c>
      <c r="AT930" s="350">
        <v>99.1</v>
      </c>
    </row>
    <row r="931" spans="38:46">
      <c r="AL931" s="345">
        <v>68</v>
      </c>
      <c r="AM931" s="341" t="s">
        <v>31</v>
      </c>
      <c r="AN931" s="345">
        <v>68855</v>
      </c>
      <c r="AO931" s="341" t="s">
        <v>1046</v>
      </c>
      <c r="AP931" t="s">
        <v>2001</v>
      </c>
      <c r="AQ931">
        <v>68855</v>
      </c>
      <c r="AR931" s="350">
        <v>99.27</v>
      </c>
      <c r="AS931" s="350">
        <v>99.57</v>
      </c>
      <c r="AT931" s="350">
        <v>99.06</v>
      </c>
    </row>
    <row r="932" spans="38:46">
      <c r="AL932" s="346">
        <v>68</v>
      </c>
      <c r="AM932" s="342" t="s">
        <v>31</v>
      </c>
      <c r="AN932" s="346">
        <v>68861</v>
      </c>
      <c r="AO932" s="342" t="s">
        <v>1051</v>
      </c>
      <c r="AP932" t="s">
        <v>2002</v>
      </c>
      <c r="AQ932">
        <v>68861</v>
      </c>
      <c r="AR932" s="350">
        <v>99.31</v>
      </c>
      <c r="AS932" s="350">
        <v>99.75</v>
      </c>
      <c r="AT932" s="350">
        <v>98.78</v>
      </c>
    </row>
    <row r="933" spans="38:46">
      <c r="AL933" s="345">
        <v>68</v>
      </c>
      <c r="AM933" s="341" t="s">
        <v>31</v>
      </c>
      <c r="AN933" s="345">
        <v>68867</v>
      </c>
      <c r="AO933" s="341" t="s">
        <v>1055</v>
      </c>
      <c r="AP933" t="s">
        <v>2003</v>
      </c>
      <c r="AQ933">
        <v>68867</v>
      </c>
      <c r="AR933" s="350">
        <v>99.07</v>
      </c>
      <c r="AS933" s="350">
        <v>99.51</v>
      </c>
      <c r="AT933" s="350">
        <v>98.8</v>
      </c>
    </row>
    <row r="934" spans="38:46">
      <c r="AL934" s="346">
        <v>68</v>
      </c>
      <c r="AM934" s="342" t="s">
        <v>31</v>
      </c>
      <c r="AN934" s="346">
        <v>68872</v>
      </c>
      <c r="AO934" s="342" t="s">
        <v>435</v>
      </c>
      <c r="AP934" t="s">
        <v>2004</v>
      </c>
      <c r="AQ934">
        <v>68872</v>
      </c>
      <c r="AR934" s="350">
        <v>98.52</v>
      </c>
      <c r="AS934" s="350">
        <v>99.02</v>
      </c>
      <c r="AT934" s="350">
        <v>97.46</v>
      </c>
    </row>
    <row r="935" spans="38:46">
      <c r="AL935" s="345">
        <v>68</v>
      </c>
      <c r="AM935" s="341" t="s">
        <v>31</v>
      </c>
      <c r="AN935" s="345">
        <v>68895</v>
      </c>
      <c r="AO935" s="341" t="s">
        <v>1062</v>
      </c>
      <c r="AP935" t="s">
        <v>2005</v>
      </c>
      <c r="AQ935">
        <v>68895</v>
      </c>
      <c r="AR935" s="350">
        <v>99.16</v>
      </c>
      <c r="AS935" s="350">
        <v>99.64</v>
      </c>
      <c r="AT935" s="350">
        <v>98.14</v>
      </c>
    </row>
    <row r="936" spans="38:46">
      <c r="AL936" s="346">
        <v>70</v>
      </c>
      <c r="AM936" s="342" t="s">
        <v>32</v>
      </c>
      <c r="AN936" s="346">
        <v>70001</v>
      </c>
      <c r="AO936" s="342" t="s">
        <v>630</v>
      </c>
      <c r="AP936" t="s">
        <v>2006</v>
      </c>
      <c r="AQ936">
        <v>70001</v>
      </c>
      <c r="AR936" s="350">
        <v>99.17</v>
      </c>
      <c r="AS936" s="350">
        <v>99.26</v>
      </c>
      <c r="AT936" s="350">
        <v>98.27</v>
      </c>
    </row>
    <row r="937" spans="38:46">
      <c r="AL937" s="345">
        <v>70</v>
      </c>
      <c r="AM937" s="341" t="s">
        <v>32</v>
      </c>
      <c r="AN937" s="345">
        <v>70110</v>
      </c>
      <c r="AO937" s="341" t="s">
        <v>70</v>
      </c>
      <c r="AP937" t="s">
        <v>2007</v>
      </c>
      <c r="AQ937">
        <v>70110</v>
      </c>
      <c r="AR937" s="350">
        <v>90.64</v>
      </c>
      <c r="AS937" s="350">
        <v>92.13</v>
      </c>
      <c r="AT937" s="350">
        <v>83.77</v>
      </c>
    </row>
    <row r="938" spans="38:46">
      <c r="AL938" s="346">
        <v>70</v>
      </c>
      <c r="AM938" s="342" t="s">
        <v>32</v>
      </c>
      <c r="AN938" s="346">
        <v>70124</v>
      </c>
      <c r="AO938" s="342" t="s">
        <v>100</v>
      </c>
      <c r="AP938" t="s">
        <v>2008</v>
      </c>
      <c r="AQ938">
        <v>70124</v>
      </c>
      <c r="AR938" s="350">
        <v>89.79</v>
      </c>
      <c r="AS938" s="350">
        <v>89.59</v>
      </c>
      <c r="AT938" s="350">
        <v>89.88</v>
      </c>
    </row>
    <row r="939" spans="38:46">
      <c r="AL939" s="345">
        <v>70</v>
      </c>
      <c r="AM939" s="341" t="s">
        <v>32</v>
      </c>
      <c r="AN939" s="345">
        <v>70204</v>
      </c>
      <c r="AO939" s="341" t="s">
        <v>162</v>
      </c>
      <c r="AP939" t="s">
        <v>2009</v>
      </c>
      <c r="AQ939">
        <v>70204</v>
      </c>
      <c r="AR939" s="350">
        <v>91.42</v>
      </c>
      <c r="AS939" s="350">
        <v>99.36</v>
      </c>
      <c r="AT939" s="350">
        <v>85.22</v>
      </c>
    </row>
    <row r="940" spans="38:46">
      <c r="AL940" s="346">
        <v>70</v>
      </c>
      <c r="AM940" s="342" t="s">
        <v>32</v>
      </c>
      <c r="AN940" s="346">
        <v>70215</v>
      </c>
      <c r="AO940" s="342" t="s">
        <v>191</v>
      </c>
      <c r="AP940" t="s">
        <v>2010</v>
      </c>
      <c r="AQ940">
        <v>70215</v>
      </c>
      <c r="AR940" s="350">
        <v>97.98</v>
      </c>
      <c r="AS940" s="350">
        <v>99.42</v>
      </c>
      <c r="AT940" s="350">
        <v>92.94</v>
      </c>
    </row>
    <row r="941" spans="38:46">
      <c r="AL941" s="345">
        <v>70</v>
      </c>
      <c r="AM941" s="341" t="s">
        <v>32</v>
      </c>
      <c r="AN941" s="345">
        <v>70221</v>
      </c>
      <c r="AO941" s="341" t="s">
        <v>219</v>
      </c>
      <c r="AP941" t="s">
        <v>2011</v>
      </c>
      <c r="AQ941">
        <v>70221</v>
      </c>
      <c r="AR941" s="350">
        <v>96.54</v>
      </c>
      <c r="AS941" s="350">
        <v>97.06</v>
      </c>
      <c r="AT941" s="350">
        <v>95.85</v>
      </c>
    </row>
    <row r="942" spans="38:46">
      <c r="AL942" s="346">
        <v>70</v>
      </c>
      <c r="AM942" s="342" t="s">
        <v>32</v>
      </c>
      <c r="AN942" s="346">
        <v>70230</v>
      </c>
      <c r="AO942" s="342" t="s">
        <v>131</v>
      </c>
      <c r="AP942" t="s">
        <v>2012</v>
      </c>
      <c r="AQ942">
        <v>70230</v>
      </c>
      <c r="AR942" s="350">
        <v>94.15</v>
      </c>
      <c r="AS942" s="350">
        <v>97.61</v>
      </c>
      <c r="AT942" s="350">
        <v>88.03</v>
      </c>
    </row>
    <row r="943" spans="38:46">
      <c r="AL943" s="345">
        <v>70</v>
      </c>
      <c r="AM943" s="341" t="s">
        <v>32</v>
      </c>
      <c r="AN943" s="345">
        <v>70233</v>
      </c>
      <c r="AO943" s="341" t="s">
        <v>248</v>
      </c>
      <c r="AP943" t="s">
        <v>2013</v>
      </c>
      <c r="AQ943">
        <v>70233</v>
      </c>
      <c r="AR943" s="350">
        <v>92.91</v>
      </c>
      <c r="AS943" s="350">
        <v>98.71</v>
      </c>
      <c r="AT943" s="350">
        <v>88.41</v>
      </c>
    </row>
    <row r="944" spans="38:46">
      <c r="AL944" s="346">
        <v>70</v>
      </c>
      <c r="AM944" s="342" t="s">
        <v>32</v>
      </c>
      <c r="AN944" s="346">
        <v>70235</v>
      </c>
      <c r="AO944" s="342" t="s">
        <v>274</v>
      </c>
      <c r="AP944" t="s">
        <v>2014</v>
      </c>
      <c r="AQ944">
        <v>70235</v>
      </c>
      <c r="AR944" s="350">
        <v>92.16</v>
      </c>
      <c r="AS944" s="350">
        <v>97.23</v>
      </c>
      <c r="AT944" s="350">
        <v>85.25</v>
      </c>
    </row>
    <row r="945" spans="38:46">
      <c r="AL945" s="345">
        <v>70</v>
      </c>
      <c r="AM945" s="341" t="s">
        <v>32</v>
      </c>
      <c r="AN945" s="345">
        <v>70265</v>
      </c>
      <c r="AO945" s="341" t="s">
        <v>300</v>
      </c>
      <c r="AP945" t="s">
        <v>2015</v>
      </c>
      <c r="AQ945">
        <v>70265</v>
      </c>
      <c r="AR945" s="350">
        <v>97.44</v>
      </c>
      <c r="AS945" s="350">
        <v>99.27</v>
      </c>
      <c r="AT945" s="350">
        <v>95.96</v>
      </c>
    </row>
    <row r="946" spans="38:46">
      <c r="AL946" s="346">
        <v>70</v>
      </c>
      <c r="AM946" s="342" t="s">
        <v>32</v>
      </c>
      <c r="AN946" s="346">
        <v>70400</v>
      </c>
      <c r="AO946" s="342" t="s">
        <v>325</v>
      </c>
      <c r="AP946" t="s">
        <v>2016</v>
      </c>
      <c r="AQ946">
        <v>70400</v>
      </c>
      <c r="AR946" s="350">
        <v>94.24</v>
      </c>
      <c r="AS946" s="350">
        <v>98.91</v>
      </c>
      <c r="AT946" s="350">
        <v>89.34</v>
      </c>
    </row>
    <row r="947" spans="38:46">
      <c r="AL947" s="345">
        <v>70</v>
      </c>
      <c r="AM947" s="341" t="s">
        <v>32</v>
      </c>
      <c r="AN947" s="345">
        <v>70418</v>
      </c>
      <c r="AO947" s="341" t="s">
        <v>350</v>
      </c>
      <c r="AP947" t="s">
        <v>2017</v>
      </c>
      <c r="AQ947">
        <v>70418</v>
      </c>
      <c r="AR947" s="350">
        <v>96.6</v>
      </c>
      <c r="AS947" s="350">
        <v>97.56</v>
      </c>
      <c r="AT947" s="350">
        <v>95.74</v>
      </c>
    </row>
    <row r="948" spans="38:46">
      <c r="AL948" s="346">
        <v>70</v>
      </c>
      <c r="AM948" s="342" t="s">
        <v>32</v>
      </c>
      <c r="AN948" s="346">
        <v>70429</v>
      </c>
      <c r="AO948" s="342" t="s">
        <v>373</v>
      </c>
      <c r="AP948" t="s">
        <v>2018</v>
      </c>
      <c r="AQ948">
        <v>70429</v>
      </c>
      <c r="AR948" s="350">
        <v>98.26</v>
      </c>
      <c r="AS948" s="350">
        <v>99.22</v>
      </c>
      <c r="AT948" s="350">
        <v>97.88</v>
      </c>
    </row>
    <row r="949" spans="38:46">
      <c r="AL949" s="345">
        <v>70</v>
      </c>
      <c r="AM949" s="341" t="s">
        <v>32</v>
      </c>
      <c r="AN949" s="345">
        <v>70473</v>
      </c>
      <c r="AO949" s="341" t="s">
        <v>397</v>
      </c>
      <c r="AP949" t="s">
        <v>2019</v>
      </c>
      <c r="AQ949">
        <v>70473</v>
      </c>
      <c r="AR949" s="350">
        <v>95.22</v>
      </c>
      <c r="AS949" s="350">
        <v>98.39</v>
      </c>
      <c r="AT949" s="350">
        <v>90.31</v>
      </c>
    </row>
    <row r="950" spans="38:46">
      <c r="AL950" s="346">
        <v>70</v>
      </c>
      <c r="AM950" s="342" t="s">
        <v>32</v>
      </c>
      <c r="AN950" s="346">
        <v>70508</v>
      </c>
      <c r="AO950" s="342" t="s">
        <v>419</v>
      </c>
      <c r="AP950" t="s">
        <v>2020</v>
      </c>
      <c r="AQ950">
        <v>70508</v>
      </c>
      <c r="AR950" s="350">
        <v>93.69</v>
      </c>
      <c r="AS950" s="350">
        <v>98.59</v>
      </c>
      <c r="AT950" s="350">
        <v>88.81</v>
      </c>
    </row>
    <row r="951" spans="38:46">
      <c r="AL951" s="345">
        <v>70</v>
      </c>
      <c r="AM951" s="341" t="s">
        <v>32</v>
      </c>
      <c r="AN951" s="345">
        <v>70523</v>
      </c>
      <c r="AO951" s="341" t="s">
        <v>441</v>
      </c>
      <c r="AP951" t="s">
        <v>2021</v>
      </c>
      <c r="AQ951">
        <v>70523</v>
      </c>
      <c r="AR951" s="350">
        <v>90.05</v>
      </c>
      <c r="AS951" s="350">
        <v>96.88</v>
      </c>
      <c r="AT951" s="350">
        <v>85.12</v>
      </c>
    </row>
    <row r="952" spans="38:46">
      <c r="AL952" s="346">
        <v>70</v>
      </c>
      <c r="AM952" s="342" t="s">
        <v>32</v>
      </c>
      <c r="AN952" s="346">
        <v>70670</v>
      </c>
      <c r="AO952" s="342" t="s">
        <v>463</v>
      </c>
      <c r="AP952" t="s">
        <v>2022</v>
      </c>
      <c r="AQ952">
        <v>70670</v>
      </c>
      <c r="AR952" s="350">
        <v>94.7</v>
      </c>
      <c r="AS952" s="350">
        <v>98.19</v>
      </c>
      <c r="AT952" s="350">
        <v>90.66</v>
      </c>
    </row>
    <row r="953" spans="38:46">
      <c r="AL953" s="345">
        <v>70</v>
      </c>
      <c r="AM953" s="341" t="s">
        <v>32</v>
      </c>
      <c r="AN953" s="345">
        <v>70678</v>
      </c>
      <c r="AO953" s="341" t="s">
        <v>483</v>
      </c>
      <c r="AP953" t="s">
        <v>2023</v>
      </c>
      <c r="AQ953">
        <v>70678</v>
      </c>
      <c r="AR953" s="350">
        <v>88.8</v>
      </c>
      <c r="AS953" s="350">
        <v>97.93</v>
      </c>
      <c r="AT953" s="350">
        <v>86.05</v>
      </c>
    </row>
    <row r="954" spans="38:46">
      <c r="AL954" s="346">
        <v>70</v>
      </c>
      <c r="AM954" s="342" t="s">
        <v>32</v>
      </c>
      <c r="AN954" s="346">
        <v>70702</v>
      </c>
      <c r="AO954" s="342" t="s">
        <v>523</v>
      </c>
      <c r="AP954" t="s">
        <v>2024</v>
      </c>
      <c r="AQ954">
        <v>70702</v>
      </c>
      <c r="AR954" s="350">
        <v>94.48</v>
      </c>
      <c r="AS954" s="350">
        <v>97.88</v>
      </c>
      <c r="AT954" s="350">
        <v>90.84</v>
      </c>
    </row>
    <row r="955" spans="38:46">
      <c r="AL955" s="345">
        <v>70</v>
      </c>
      <c r="AM955" s="341" t="s">
        <v>32</v>
      </c>
      <c r="AN955" s="345">
        <v>70708</v>
      </c>
      <c r="AO955" s="341" t="s">
        <v>558</v>
      </c>
      <c r="AP955" t="s">
        <v>2025</v>
      </c>
      <c r="AQ955">
        <v>70708</v>
      </c>
      <c r="AR955" s="350">
        <v>96.22</v>
      </c>
      <c r="AS955" s="350">
        <v>97.93</v>
      </c>
      <c r="AT955" s="350">
        <v>93.61</v>
      </c>
    </row>
    <row r="956" spans="38:46">
      <c r="AL956" s="346">
        <v>70</v>
      </c>
      <c r="AM956" s="342" t="s">
        <v>32</v>
      </c>
      <c r="AN956" s="346">
        <v>70713</v>
      </c>
      <c r="AO956" s="342" t="s">
        <v>577</v>
      </c>
      <c r="AP956" t="s">
        <v>2026</v>
      </c>
      <c r="AQ956">
        <v>70713</v>
      </c>
      <c r="AR956" s="350">
        <v>96.66</v>
      </c>
      <c r="AS956" s="350">
        <v>99.46</v>
      </c>
      <c r="AT956" s="350">
        <v>94.87</v>
      </c>
    </row>
    <row r="957" spans="38:46">
      <c r="AL957" s="345">
        <v>70</v>
      </c>
      <c r="AM957" s="341" t="s">
        <v>32</v>
      </c>
      <c r="AN957" s="345">
        <v>70717</v>
      </c>
      <c r="AO957" s="341" t="s">
        <v>597</v>
      </c>
      <c r="AP957" t="s">
        <v>2027</v>
      </c>
      <c r="AQ957">
        <v>70717</v>
      </c>
      <c r="AR957" s="350">
        <v>97.28</v>
      </c>
      <c r="AS957" s="350">
        <v>99.46</v>
      </c>
      <c r="AT957" s="350">
        <v>92.52</v>
      </c>
    </row>
    <row r="958" spans="38:46">
      <c r="AL958" s="346">
        <v>70</v>
      </c>
      <c r="AM958" s="342" t="s">
        <v>32</v>
      </c>
      <c r="AN958" s="346">
        <v>70742</v>
      </c>
      <c r="AO958" s="342" t="s">
        <v>540</v>
      </c>
      <c r="AP958" t="s">
        <v>2028</v>
      </c>
      <c r="AQ958">
        <v>70742</v>
      </c>
      <c r="AR958" s="350">
        <v>95.46</v>
      </c>
      <c r="AS958" s="350">
        <v>98.84</v>
      </c>
      <c r="AT958" s="350">
        <v>86.11</v>
      </c>
    </row>
    <row r="959" spans="38:46">
      <c r="AL959" s="345">
        <v>70</v>
      </c>
      <c r="AM959" s="341" t="s">
        <v>32</v>
      </c>
      <c r="AN959" s="345">
        <v>70771</v>
      </c>
      <c r="AO959" s="341" t="s">
        <v>32</v>
      </c>
      <c r="AP959" t="s">
        <v>2029</v>
      </c>
      <c r="AQ959">
        <v>70771</v>
      </c>
      <c r="AR959" s="350">
        <v>94.44</v>
      </c>
      <c r="AS959" s="350">
        <v>98.17</v>
      </c>
      <c r="AT959" s="350">
        <v>93.13</v>
      </c>
    </row>
    <row r="960" spans="38:46">
      <c r="AL960" s="346">
        <v>70</v>
      </c>
      <c r="AM960" s="342" t="s">
        <v>32</v>
      </c>
      <c r="AN960" s="346">
        <v>70820</v>
      </c>
      <c r="AO960" s="342" t="s">
        <v>614</v>
      </c>
      <c r="AP960" t="s">
        <v>2030</v>
      </c>
      <c r="AQ960">
        <v>70820</v>
      </c>
      <c r="AR960" s="350">
        <v>97.24</v>
      </c>
      <c r="AS960" s="350">
        <v>98.21</v>
      </c>
      <c r="AT960" s="350">
        <v>93</v>
      </c>
    </row>
    <row r="961" spans="38:46">
      <c r="AL961" s="345">
        <v>70</v>
      </c>
      <c r="AM961" s="341" t="s">
        <v>32</v>
      </c>
      <c r="AN961" s="345">
        <v>70823</v>
      </c>
      <c r="AO961" s="341" t="s">
        <v>503</v>
      </c>
      <c r="AP961" t="s">
        <v>2031</v>
      </c>
      <c r="AQ961">
        <v>70823</v>
      </c>
      <c r="AR961" s="350">
        <v>98.47</v>
      </c>
      <c r="AS961" s="350">
        <v>99.11</v>
      </c>
      <c r="AT961" s="350">
        <v>98.19</v>
      </c>
    </row>
    <row r="962" spans="38:46">
      <c r="AL962" s="346">
        <v>73</v>
      </c>
      <c r="AM962" s="342" t="s">
        <v>33</v>
      </c>
      <c r="AN962" s="346">
        <v>73001</v>
      </c>
      <c r="AO962" s="342" t="s">
        <v>578</v>
      </c>
      <c r="AP962" t="s">
        <v>2032</v>
      </c>
      <c r="AQ962">
        <v>73001</v>
      </c>
      <c r="AR962" s="350">
        <v>99.33</v>
      </c>
      <c r="AS962" s="350">
        <v>99.53</v>
      </c>
      <c r="AT962" s="350">
        <v>96.12</v>
      </c>
    </row>
    <row r="963" spans="38:46">
      <c r="AL963" s="345">
        <v>73</v>
      </c>
      <c r="AM963" s="341" t="s">
        <v>33</v>
      </c>
      <c r="AN963" s="345">
        <v>73024</v>
      </c>
      <c r="AO963" s="341" t="s">
        <v>71</v>
      </c>
      <c r="AP963" t="s">
        <v>2033</v>
      </c>
      <c r="AQ963">
        <v>73024</v>
      </c>
      <c r="AR963" s="350">
        <v>95.56</v>
      </c>
      <c r="AS963" s="350">
        <v>98.68</v>
      </c>
      <c r="AT963" s="350">
        <v>93.35</v>
      </c>
    </row>
    <row r="964" spans="38:46">
      <c r="AL964" s="346">
        <v>73</v>
      </c>
      <c r="AM964" s="342" t="s">
        <v>33</v>
      </c>
      <c r="AN964" s="346">
        <v>73026</v>
      </c>
      <c r="AO964" s="342" t="s">
        <v>101</v>
      </c>
      <c r="AP964" t="s">
        <v>2034</v>
      </c>
      <c r="AQ964">
        <v>73026</v>
      </c>
      <c r="AR964" s="350">
        <v>95.84</v>
      </c>
      <c r="AS964" s="350">
        <v>98.81</v>
      </c>
      <c r="AT964" s="350">
        <v>93.26</v>
      </c>
    </row>
    <row r="965" spans="38:46">
      <c r="AL965" s="345">
        <v>73</v>
      </c>
      <c r="AM965" s="341" t="s">
        <v>33</v>
      </c>
      <c r="AN965" s="345">
        <v>73030</v>
      </c>
      <c r="AO965" s="341" t="s">
        <v>132</v>
      </c>
      <c r="AP965" t="s">
        <v>2035</v>
      </c>
      <c r="AQ965">
        <v>73030</v>
      </c>
      <c r="AR965" s="350">
        <v>97.88</v>
      </c>
      <c r="AS965" s="350">
        <v>98.5</v>
      </c>
      <c r="AT965" s="350">
        <v>95.18</v>
      </c>
    </row>
    <row r="966" spans="38:46">
      <c r="AL966" s="346">
        <v>73</v>
      </c>
      <c r="AM966" s="342" t="s">
        <v>33</v>
      </c>
      <c r="AN966" s="346">
        <v>73043</v>
      </c>
      <c r="AO966" s="342" t="s">
        <v>163</v>
      </c>
      <c r="AP966" t="s">
        <v>2036</v>
      </c>
      <c r="AQ966">
        <v>73043</v>
      </c>
      <c r="AR966" s="350">
        <v>90.89</v>
      </c>
      <c r="AS966" s="350">
        <v>98.91</v>
      </c>
      <c r="AT966" s="350">
        <v>88.86</v>
      </c>
    </row>
    <row r="967" spans="38:46">
      <c r="AL967" s="345">
        <v>73</v>
      </c>
      <c r="AM967" s="341" t="s">
        <v>33</v>
      </c>
      <c r="AN967" s="345">
        <v>73055</v>
      </c>
      <c r="AO967" s="341" t="s">
        <v>192</v>
      </c>
      <c r="AP967" t="s">
        <v>2037</v>
      </c>
      <c r="AQ967">
        <v>73055</v>
      </c>
      <c r="AR967" s="350">
        <v>97.98</v>
      </c>
      <c r="AS967" s="350">
        <v>98.76</v>
      </c>
      <c r="AT967" s="350">
        <v>95.98</v>
      </c>
    </row>
    <row r="968" spans="38:46">
      <c r="AL968" s="346">
        <v>73</v>
      </c>
      <c r="AM968" s="342" t="s">
        <v>33</v>
      </c>
      <c r="AN968" s="346">
        <v>73067</v>
      </c>
      <c r="AO968" s="342" t="s">
        <v>220</v>
      </c>
      <c r="AP968" t="s">
        <v>2038</v>
      </c>
      <c r="AQ968">
        <v>73067</v>
      </c>
      <c r="AR968" s="350">
        <v>89.88</v>
      </c>
      <c r="AS968" s="350">
        <v>95.9</v>
      </c>
      <c r="AT968" s="350">
        <v>87.55</v>
      </c>
    </row>
    <row r="969" spans="38:46">
      <c r="AL969" s="345">
        <v>73</v>
      </c>
      <c r="AM969" s="341" t="s">
        <v>33</v>
      </c>
      <c r="AN969" s="345">
        <v>73124</v>
      </c>
      <c r="AO969" s="341" t="s">
        <v>249</v>
      </c>
      <c r="AP969" t="s">
        <v>2039</v>
      </c>
      <c r="AQ969">
        <v>73124</v>
      </c>
      <c r="AR969" s="350">
        <v>98.49</v>
      </c>
      <c r="AS969" s="350">
        <v>99.59</v>
      </c>
      <c r="AT969" s="350">
        <v>97.25</v>
      </c>
    </row>
    <row r="970" spans="38:46">
      <c r="AL970" s="346">
        <v>73</v>
      </c>
      <c r="AM970" s="342" t="s">
        <v>33</v>
      </c>
      <c r="AN970" s="346">
        <v>73148</v>
      </c>
      <c r="AO970" s="342" t="s">
        <v>275</v>
      </c>
      <c r="AP970" t="s">
        <v>2040</v>
      </c>
      <c r="AQ970">
        <v>73148</v>
      </c>
      <c r="AR970" s="350">
        <v>98.66</v>
      </c>
      <c r="AS970" s="350">
        <v>99.61</v>
      </c>
      <c r="AT970" s="350">
        <v>95.39</v>
      </c>
    </row>
    <row r="971" spans="38:46">
      <c r="AL971" s="345">
        <v>73</v>
      </c>
      <c r="AM971" s="341" t="s">
        <v>33</v>
      </c>
      <c r="AN971" s="345">
        <v>73152</v>
      </c>
      <c r="AO971" s="341" t="s">
        <v>301</v>
      </c>
      <c r="AP971" t="s">
        <v>2041</v>
      </c>
      <c r="AQ971">
        <v>73152</v>
      </c>
      <c r="AR971" s="350">
        <v>97.17</v>
      </c>
      <c r="AS971" s="350">
        <v>98.42</v>
      </c>
      <c r="AT971" s="350">
        <v>96.59</v>
      </c>
    </row>
    <row r="972" spans="38:46">
      <c r="AL972" s="346">
        <v>73</v>
      </c>
      <c r="AM972" s="342" t="s">
        <v>33</v>
      </c>
      <c r="AN972" s="346">
        <v>73168</v>
      </c>
      <c r="AO972" s="342" t="s">
        <v>326</v>
      </c>
      <c r="AP972" t="s">
        <v>2042</v>
      </c>
      <c r="AQ972">
        <v>73168</v>
      </c>
      <c r="AR972" s="350">
        <v>96.83</v>
      </c>
      <c r="AS972" s="350">
        <v>99.02</v>
      </c>
      <c r="AT972" s="350">
        <v>93.22</v>
      </c>
    </row>
    <row r="973" spans="38:46">
      <c r="AL973" s="345">
        <v>73</v>
      </c>
      <c r="AM973" s="341" t="s">
        <v>33</v>
      </c>
      <c r="AN973" s="345">
        <v>73200</v>
      </c>
      <c r="AO973" s="341" t="s">
        <v>351</v>
      </c>
      <c r="AP973" t="s">
        <v>2043</v>
      </c>
      <c r="AQ973">
        <v>73200</v>
      </c>
      <c r="AR973" s="350">
        <v>96.03</v>
      </c>
      <c r="AS973" s="350">
        <v>99.81</v>
      </c>
      <c r="AT973" s="350">
        <v>95.03</v>
      </c>
    </row>
    <row r="974" spans="38:46">
      <c r="AL974" s="346">
        <v>73</v>
      </c>
      <c r="AM974" s="342" t="s">
        <v>33</v>
      </c>
      <c r="AN974" s="346">
        <v>73217</v>
      </c>
      <c r="AO974" s="342" t="s">
        <v>374</v>
      </c>
      <c r="AP974" t="s">
        <v>2044</v>
      </c>
      <c r="AQ974">
        <v>73217</v>
      </c>
      <c r="AR974" s="350">
        <v>95.01</v>
      </c>
      <c r="AS974" s="350">
        <v>98.84</v>
      </c>
      <c r="AT974" s="350">
        <v>94.09</v>
      </c>
    </row>
    <row r="975" spans="38:46">
      <c r="AL975" s="345">
        <v>73</v>
      </c>
      <c r="AM975" s="341" t="s">
        <v>33</v>
      </c>
      <c r="AN975" s="345">
        <v>73226</v>
      </c>
      <c r="AO975" s="341" t="s">
        <v>398</v>
      </c>
      <c r="AP975" t="s">
        <v>2045</v>
      </c>
      <c r="AQ975">
        <v>73226</v>
      </c>
      <c r="AR975" s="350">
        <v>95.47</v>
      </c>
      <c r="AS975" s="350">
        <v>99.36</v>
      </c>
      <c r="AT975" s="350">
        <v>93.96</v>
      </c>
    </row>
    <row r="976" spans="38:46">
      <c r="AL976" s="346">
        <v>73</v>
      </c>
      <c r="AM976" s="342" t="s">
        <v>33</v>
      </c>
      <c r="AN976" s="346">
        <v>73236</v>
      </c>
      <c r="AO976" s="342" t="s">
        <v>420</v>
      </c>
      <c r="AP976" t="s">
        <v>2046</v>
      </c>
      <c r="AQ976">
        <v>73236</v>
      </c>
      <c r="AR976" s="350">
        <v>95.87</v>
      </c>
      <c r="AS976" s="350">
        <v>99.2</v>
      </c>
      <c r="AT976" s="350">
        <v>93.63</v>
      </c>
    </row>
    <row r="977" spans="38:46">
      <c r="AL977" s="345">
        <v>73</v>
      </c>
      <c r="AM977" s="341" t="s">
        <v>33</v>
      </c>
      <c r="AN977" s="345">
        <v>73268</v>
      </c>
      <c r="AO977" s="341" t="s">
        <v>442</v>
      </c>
      <c r="AP977" t="s">
        <v>2047</v>
      </c>
      <c r="AQ977">
        <v>73268</v>
      </c>
      <c r="AR977" s="350">
        <v>99.38</v>
      </c>
      <c r="AS977" s="350">
        <v>99.67</v>
      </c>
      <c r="AT977" s="350">
        <v>98.57</v>
      </c>
    </row>
    <row r="978" spans="38:46">
      <c r="AL978" s="346">
        <v>73</v>
      </c>
      <c r="AM978" s="342" t="s">
        <v>33</v>
      </c>
      <c r="AN978" s="346">
        <v>73270</v>
      </c>
      <c r="AO978" s="342" t="s">
        <v>464</v>
      </c>
      <c r="AP978" t="s">
        <v>2048</v>
      </c>
      <c r="AQ978">
        <v>73270</v>
      </c>
      <c r="AR978" s="350">
        <v>96.6</v>
      </c>
      <c r="AS978" s="350">
        <v>99.09</v>
      </c>
      <c r="AT978" s="350">
        <v>95.75</v>
      </c>
    </row>
    <row r="979" spans="38:46">
      <c r="AL979" s="345">
        <v>73</v>
      </c>
      <c r="AM979" s="341" t="s">
        <v>33</v>
      </c>
      <c r="AN979" s="345">
        <v>73275</v>
      </c>
      <c r="AO979" s="341" t="s">
        <v>484</v>
      </c>
      <c r="AP979" t="s">
        <v>2049</v>
      </c>
      <c r="AQ979">
        <v>73275</v>
      </c>
      <c r="AR979" s="350">
        <v>99.37</v>
      </c>
      <c r="AS979" s="350">
        <v>99.68</v>
      </c>
      <c r="AT979" s="350">
        <v>97.06</v>
      </c>
    </row>
    <row r="980" spans="38:46">
      <c r="AL980" s="346">
        <v>73</v>
      </c>
      <c r="AM980" s="342" t="s">
        <v>33</v>
      </c>
      <c r="AN980" s="346">
        <v>73283</v>
      </c>
      <c r="AO980" s="342" t="s">
        <v>504</v>
      </c>
      <c r="AP980" t="s">
        <v>2050</v>
      </c>
      <c r="AQ980">
        <v>73283</v>
      </c>
      <c r="AR980" s="350">
        <v>98.2</v>
      </c>
      <c r="AS980" s="350">
        <v>99.46</v>
      </c>
      <c r="AT980" s="350">
        <v>96.78</v>
      </c>
    </row>
    <row r="981" spans="38:46">
      <c r="AL981" s="345">
        <v>73</v>
      </c>
      <c r="AM981" s="341" t="s">
        <v>33</v>
      </c>
      <c r="AN981" s="345">
        <v>73319</v>
      </c>
      <c r="AO981" s="341" t="s">
        <v>524</v>
      </c>
      <c r="AP981" t="s">
        <v>2051</v>
      </c>
      <c r="AQ981">
        <v>73319</v>
      </c>
      <c r="AR981" s="350">
        <v>97.09</v>
      </c>
      <c r="AS981" s="350">
        <v>98.74</v>
      </c>
      <c r="AT981" s="350">
        <v>95.31</v>
      </c>
    </row>
    <row r="982" spans="38:46">
      <c r="AL982" s="346">
        <v>73</v>
      </c>
      <c r="AM982" s="342" t="s">
        <v>33</v>
      </c>
      <c r="AN982" s="346">
        <v>73347</v>
      </c>
      <c r="AO982" s="342" t="s">
        <v>541</v>
      </c>
      <c r="AP982" t="s">
        <v>2052</v>
      </c>
      <c r="AQ982">
        <v>73347</v>
      </c>
      <c r="AR982" s="350">
        <v>97.24</v>
      </c>
      <c r="AS982" s="350">
        <v>98.73</v>
      </c>
      <c r="AT982" s="350">
        <v>96.48</v>
      </c>
    </row>
    <row r="983" spans="38:46">
      <c r="AL983" s="345">
        <v>73</v>
      </c>
      <c r="AM983" s="341" t="s">
        <v>33</v>
      </c>
      <c r="AN983" s="345">
        <v>73349</v>
      </c>
      <c r="AO983" s="341" t="s">
        <v>559</v>
      </c>
      <c r="AP983" t="s">
        <v>2053</v>
      </c>
      <c r="AQ983">
        <v>73349</v>
      </c>
      <c r="AR983" s="350">
        <v>98</v>
      </c>
      <c r="AS983" s="350">
        <v>98.18</v>
      </c>
      <c r="AT983" s="350">
        <v>92.59</v>
      </c>
    </row>
    <row r="984" spans="38:46">
      <c r="AL984" s="346">
        <v>73</v>
      </c>
      <c r="AM984" s="342" t="s">
        <v>33</v>
      </c>
      <c r="AN984" s="346">
        <v>73352</v>
      </c>
      <c r="AO984" s="342" t="s">
        <v>598</v>
      </c>
      <c r="AP984" t="s">
        <v>2054</v>
      </c>
      <c r="AQ984">
        <v>73352</v>
      </c>
      <c r="AR984" s="350">
        <v>95.87</v>
      </c>
      <c r="AS984" s="350">
        <v>99.3</v>
      </c>
      <c r="AT984" s="350">
        <v>94.23</v>
      </c>
    </row>
    <row r="985" spans="38:46">
      <c r="AL985" s="345">
        <v>73</v>
      </c>
      <c r="AM985" s="341" t="s">
        <v>33</v>
      </c>
      <c r="AN985" s="345">
        <v>73408</v>
      </c>
      <c r="AO985" s="341" t="s">
        <v>615</v>
      </c>
      <c r="AP985" t="s">
        <v>2055</v>
      </c>
      <c r="AQ985">
        <v>73408</v>
      </c>
      <c r="AR985" s="350">
        <v>98.94</v>
      </c>
      <c r="AS985" s="350">
        <v>99.58</v>
      </c>
      <c r="AT985" s="350">
        <v>96.58</v>
      </c>
    </row>
    <row r="986" spans="38:46">
      <c r="AL986" s="346">
        <v>73</v>
      </c>
      <c r="AM986" s="342" t="s">
        <v>33</v>
      </c>
      <c r="AN986" s="346">
        <v>73411</v>
      </c>
      <c r="AO986" s="342" t="s">
        <v>631</v>
      </c>
      <c r="AP986" t="s">
        <v>2056</v>
      </c>
      <c r="AQ986">
        <v>73411</v>
      </c>
      <c r="AR986" s="350">
        <v>98.18</v>
      </c>
      <c r="AS986" s="350">
        <v>99.26</v>
      </c>
      <c r="AT986" s="350">
        <v>95.89</v>
      </c>
    </row>
    <row r="987" spans="38:46">
      <c r="AL987" s="345">
        <v>73</v>
      </c>
      <c r="AM987" s="341" t="s">
        <v>33</v>
      </c>
      <c r="AN987" s="345">
        <v>73443</v>
      </c>
      <c r="AO987" s="341" t="s">
        <v>825</v>
      </c>
      <c r="AP987" t="s">
        <v>2057</v>
      </c>
      <c r="AQ987">
        <v>73443</v>
      </c>
      <c r="AR987" s="350">
        <v>99.09</v>
      </c>
      <c r="AS987" s="350">
        <v>99.69</v>
      </c>
      <c r="AT987" s="350">
        <v>96.63</v>
      </c>
    </row>
    <row r="988" spans="38:46">
      <c r="AL988" s="346">
        <v>73</v>
      </c>
      <c r="AM988" s="342" t="s">
        <v>33</v>
      </c>
      <c r="AN988" s="346">
        <v>73449</v>
      </c>
      <c r="AO988" s="342" t="s">
        <v>647</v>
      </c>
      <c r="AP988" t="s">
        <v>2058</v>
      </c>
      <c r="AQ988">
        <v>73449</v>
      </c>
      <c r="AR988" s="350">
        <v>99.28</v>
      </c>
      <c r="AS988" s="350">
        <v>99.74</v>
      </c>
      <c r="AT988" s="350">
        <v>97.18</v>
      </c>
    </row>
    <row r="989" spans="38:46">
      <c r="AL989" s="345">
        <v>73</v>
      </c>
      <c r="AM989" s="341" t="s">
        <v>33</v>
      </c>
      <c r="AN989" s="345">
        <v>73461</v>
      </c>
      <c r="AO989" s="341" t="s">
        <v>663</v>
      </c>
      <c r="AP989" t="s">
        <v>2059</v>
      </c>
      <c r="AQ989">
        <v>73461</v>
      </c>
      <c r="AR989" s="350">
        <v>96.64</v>
      </c>
      <c r="AS989" s="350">
        <v>99.29</v>
      </c>
      <c r="AT989" s="350">
        <v>93.74</v>
      </c>
    </row>
    <row r="990" spans="38:46">
      <c r="AL990" s="346">
        <v>73</v>
      </c>
      <c r="AM990" s="342" t="s">
        <v>33</v>
      </c>
      <c r="AN990" s="346">
        <v>73483</v>
      </c>
      <c r="AO990" s="342" t="s">
        <v>678</v>
      </c>
      <c r="AP990" t="s">
        <v>2060</v>
      </c>
      <c r="AQ990">
        <v>73483</v>
      </c>
      <c r="AR990" s="350">
        <v>93.15</v>
      </c>
      <c r="AS990" s="350">
        <v>97.43</v>
      </c>
      <c r="AT990" s="350">
        <v>88.28</v>
      </c>
    </row>
    <row r="991" spans="38:46">
      <c r="AL991" s="345">
        <v>73</v>
      </c>
      <c r="AM991" s="341" t="s">
        <v>33</v>
      </c>
      <c r="AN991" s="345">
        <v>73504</v>
      </c>
      <c r="AO991" s="341" t="s">
        <v>693</v>
      </c>
      <c r="AP991" t="s">
        <v>2061</v>
      </c>
      <c r="AQ991">
        <v>73504</v>
      </c>
      <c r="AR991" s="350">
        <v>92.23</v>
      </c>
      <c r="AS991" s="350">
        <v>98.35</v>
      </c>
      <c r="AT991" s="350">
        <v>90.21</v>
      </c>
    </row>
    <row r="992" spans="38:46">
      <c r="AL992" s="346">
        <v>73</v>
      </c>
      <c r="AM992" s="342" t="s">
        <v>33</v>
      </c>
      <c r="AN992" s="346">
        <v>73520</v>
      </c>
      <c r="AO992" s="342" t="s">
        <v>708</v>
      </c>
      <c r="AP992" t="s">
        <v>2062</v>
      </c>
      <c r="AQ992">
        <v>73520</v>
      </c>
      <c r="AR992" s="350">
        <v>95.62</v>
      </c>
      <c r="AS992" s="350">
        <v>99.31</v>
      </c>
      <c r="AT992" s="350">
        <v>93.61</v>
      </c>
    </row>
    <row r="993" spans="38:46">
      <c r="AL993" s="345">
        <v>73</v>
      </c>
      <c r="AM993" s="341" t="s">
        <v>33</v>
      </c>
      <c r="AN993" s="345">
        <v>73547</v>
      </c>
      <c r="AO993" s="341" t="s">
        <v>720</v>
      </c>
      <c r="AP993" t="s">
        <v>2063</v>
      </c>
      <c r="AQ993">
        <v>73547</v>
      </c>
      <c r="AR993" s="350">
        <v>96.97</v>
      </c>
      <c r="AS993" s="350">
        <v>99.31</v>
      </c>
      <c r="AT993" s="350">
        <v>95.56</v>
      </c>
    </row>
    <row r="994" spans="38:46">
      <c r="AL994" s="346">
        <v>73</v>
      </c>
      <c r="AM994" s="342" t="s">
        <v>33</v>
      </c>
      <c r="AN994" s="346">
        <v>73555</v>
      </c>
      <c r="AO994" s="342" t="s">
        <v>731</v>
      </c>
      <c r="AP994" t="s">
        <v>2064</v>
      </c>
      <c r="AQ994">
        <v>73555</v>
      </c>
      <c r="AR994" s="350">
        <v>90.84</v>
      </c>
      <c r="AS994" s="350">
        <v>95.74</v>
      </c>
      <c r="AT994" s="350">
        <v>88.46</v>
      </c>
    </row>
    <row r="995" spans="38:46">
      <c r="AL995" s="345">
        <v>73</v>
      </c>
      <c r="AM995" s="341" t="s">
        <v>33</v>
      </c>
      <c r="AN995" s="345">
        <v>73563</v>
      </c>
      <c r="AO995" s="341" t="s">
        <v>741</v>
      </c>
      <c r="AP995" t="s">
        <v>2065</v>
      </c>
      <c r="AQ995">
        <v>73563</v>
      </c>
      <c r="AR995" s="350">
        <v>97.56</v>
      </c>
      <c r="AS995" s="350">
        <v>98.26</v>
      </c>
      <c r="AT995" s="350">
        <v>96.95</v>
      </c>
    </row>
    <row r="996" spans="38:46">
      <c r="AL996" s="346">
        <v>73</v>
      </c>
      <c r="AM996" s="342" t="s">
        <v>33</v>
      </c>
      <c r="AN996" s="346">
        <v>73585</v>
      </c>
      <c r="AO996" s="342" t="s">
        <v>753</v>
      </c>
      <c r="AP996" t="s">
        <v>2066</v>
      </c>
      <c r="AQ996">
        <v>73585</v>
      </c>
      <c r="AR996" s="350">
        <v>98.11</v>
      </c>
      <c r="AS996" s="350">
        <v>98.88</v>
      </c>
      <c r="AT996" s="350">
        <v>97.1</v>
      </c>
    </row>
    <row r="997" spans="38:46">
      <c r="AL997" s="345">
        <v>73</v>
      </c>
      <c r="AM997" s="341" t="s">
        <v>33</v>
      </c>
      <c r="AN997" s="345">
        <v>73616</v>
      </c>
      <c r="AO997" s="341" t="s">
        <v>765</v>
      </c>
      <c r="AP997" t="s">
        <v>2067</v>
      </c>
      <c r="AQ997">
        <v>73616</v>
      </c>
      <c r="AR997" s="350">
        <v>88.08</v>
      </c>
      <c r="AS997" s="350">
        <v>99.42</v>
      </c>
      <c r="AT997" s="350">
        <v>84.91</v>
      </c>
    </row>
    <row r="998" spans="38:46">
      <c r="AL998" s="346">
        <v>73</v>
      </c>
      <c r="AM998" s="342" t="s">
        <v>33</v>
      </c>
      <c r="AN998" s="346">
        <v>73622</v>
      </c>
      <c r="AO998" s="342" t="s">
        <v>776</v>
      </c>
      <c r="AP998" t="s">
        <v>2068</v>
      </c>
      <c r="AQ998">
        <v>73622</v>
      </c>
      <c r="AR998" s="350">
        <v>92.12</v>
      </c>
      <c r="AS998" s="350">
        <v>96.45</v>
      </c>
      <c r="AT998" s="350">
        <v>89.51</v>
      </c>
    </row>
    <row r="999" spans="38:46">
      <c r="AL999" s="345">
        <v>73</v>
      </c>
      <c r="AM999" s="341" t="s">
        <v>33</v>
      </c>
      <c r="AN999" s="345">
        <v>73624</v>
      </c>
      <c r="AO999" s="341" t="s">
        <v>785</v>
      </c>
      <c r="AP999" t="s">
        <v>2069</v>
      </c>
      <c r="AQ999">
        <v>73624</v>
      </c>
      <c r="AR999" s="350">
        <v>96.84</v>
      </c>
      <c r="AS999" s="350">
        <v>98.74</v>
      </c>
      <c r="AT999" s="350">
        <v>94.84</v>
      </c>
    </row>
    <row r="1000" spans="38:46">
      <c r="AL1000" s="346">
        <v>73</v>
      </c>
      <c r="AM1000" s="342" t="s">
        <v>33</v>
      </c>
      <c r="AN1000" s="346">
        <v>73671</v>
      </c>
      <c r="AO1000" s="342" t="s">
        <v>794</v>
      </c>
      <c r="AP1000" t="s">
        <v>2070</v>
      </c>
      <c r="AQ1000">
        <v>73671</v>
      </c>
      <c r="AR1000" s="350">
        <v>97.04</v>
      </c>
      <c r="AS1000" s="350">
        <v>99.14</v>
      </c>
      <c r="AT1000" s="350">
        <v>94</v>
      </c>
    </row>
    <row r="1001" spans="38:46">
      <c r="AL1001" s="345">
        <v>73</v>
      </c>
      <c r="AM1001" s="341" t="s">
        <v>33</v>
      </c>
      <c r="AN1001" s="345">
        <v>73675</v>
      </c>
      <c r="AO1001" s="341" t="s">
        <v>805</v>
      </c>
      <c r="AP1001" t="s">
        <v>2071</v>
      </c>
      <c r="AQ1001">
        <v>73675</v>
      </c>
      <c r="AR1001" s="350">
        <v>95.4</v>
      </c>
      <c r="AS1001" s="350">
        <v>98.66</v>
      </c>
      <c r="AT1001" s="350">
        <v>93.25</v>
      </c>
    </row>
    <row r="1002" spans="38:46">
      <c r="AL1002" s="346">
        <v>73</v>
      </c>
      <c r="AM1002" s="342" t="s">
        <v>33</v>
      </c>
      <c r="AN1002" s="346">
        <v>73678</v>
      </c>
      <c r="AO1002" s="342" t="s">
        <v>815</v>
      </c>
      <c r="AP1002" t="s">
        <v>2072</v>
      </c>
      <c r="AQ1002">
        <v>73678</v>
      </c>
      <c r="AR1002" s="350">
        <v>97.3</v>
      </c>
      <c r="AS1002" s="350">
        <v>97.93</v>
      </c>
      <c r="AT1002" s="350">
        <v>97.05</v>
      </c>
    </row>
    <row r="1003" spans="38:46">
      <c r="AL1003" s="345">
        <v>73</v>
      </c>
      <c r="AM1003" s="341" t="s">
        <v>33</v>
      </c>
      <c r="AN1003" s="345">
        <v>73686</v>
      </c>
      <c r="AO1003" s="341" t="s">
        <v>835</v>
      </c>
      <c r="AP1003" t="s">
        <v>2073</v>
      </c>
      <c r="AQ1003">
        <v>73686</v>
      </c>
      <c r="AR1003" s="350">
        <v>98.84</v>
      </c>
      <c r="AS1003" s="350">
        <v>98.95</v>
      </c>
      <c r="AT1003" s="350">
        <v>98.76</v>
      </c>
    </row>
    <row r="1004" spans="38:46">
      <c r="AL1004" s="346">
        <v>73</v>
      </c>
      <c r="AM1004" s="342" t="s">
        <v>33</v>
      </c>
      <c r="AN1004" s="346">
        <v>73770</v>
      </c>
      <c r="AO1004" s="342" t="s">
        <v>770</v>
      </c>
      <c r="AP1004" t="s">
        <v>2074</v>
      </c>
      <c r="AQ1004">
        <v>73770</v>
      </c>
      <c r="AR1004" s="350">
        <v>96.93</v>
      </c>
      <c r="AS1004" s="350">
        <v>98.32</v>
      </c>
      <c r="AT1004" s="350">
        <v>96.03</v>
      </c>
    </row>
    <row r="1005" spans="38:46">
      <c r="AL1005" s="345">
        <v>73</v>
      </c>
      <c r="AM1005" s="341" t="s">
        <v>33</v>
      </c>
      <c r="AN1005" s="345">
        <v>73854</v>
      </c>
      <c r="AO1005" s="341" t="s">
        <v>850</v>
      </c>
      <c r="AP1005" t="s">
        <v>2075</v>
      </c>
      <c r="AQ1005">
        <v>73854</v>
      </c>
      <c r="AR1005" s="350">
        <v>96.91</v>
      </c>
      <c r="AS1005" s="350">
        <v>98.49</v>
      </c>
      <c r="AT1005" s="350">
        <v>95.86</v>
      </c>
    </row>
    <row r="1006" spans="38:46">
      <c r="AL1006" s="346">
        <v>73</v>
      </c>
      <c r="AM1006" s="342" t="s">
        <v>33</v>
      </c>
      <c r="AN1006" s="346">
        <v>73861</v>
      </c>
      <c r="AO1006" s="342" t="s">
        <v>857</v>
      </c>
      <c r="AP1006" t="s">
        <v>2076</v>
      </c>
      <c r="AQ1006">
        <v>73861</v>
      </c>
      <c r="AR1006" s="350">
        <v>97.65</v>
      </c>
      <c r="AS1006" s="350">
        <v>99.31</v>
      </c>
      <c r="AT1006" s="350">
        <v>94.02</v>
      </c>
    </row>
    <row r="1007" spans="38:46">
      <c r="AL1007" s="345">
        <v>73</v>
      </c>
      <c r="AM1007" s="341" t="s">
        <v>33</v>
      </c>
      <c r="AN1007" s="345">
        <v>73870</v>
      </c>
      <c r="AO1007" s="341" t="s">
        <v>863</v>
      </c>
      <c r="AP1007" t="s">
        <v>2077</v>
      </c>
      <c r="AQ1007">
        <v>73870</v>
      </c>
      <c r="AR1007" s="350">
        <v>93.69</v>
      </c>
      <c r="AS1007" s="350">
        <v>98.21</v>
      </c>
      <c r="AT1007" s="350">
        <v>90.79</v>
      </c>
    </row>
    <row r="1008" spans="38:46">
      <c r="AL1008" s="346">
        <v>73</v>
      </c>
      <c r="AM1008" s="342" t="s">
        <v>33</v>
      </c>
      <c r="AN1008" s="346">
        <v>73873</v>
      </c>
      <c r="AO1008" s="342" t="s">
        <v>870</v>
      </c>
      <c r="AP1008" t="s">
        <v>2078</v>
      </c>
      <c r="AQ1008">
        <v>73873</v>
      </c>
      <c r="AR1008" s="350">
        <v>91.73</v>
      </c>
      <c r="AS1008" s="350">
        <v>98.38</v>
      </c>
      <c r="AT1008" s="350">
        <v>87.42</v>
      </c>
    </row>
    <row r="1009" spans="38:46">
      <c r="AL1009" s="345">
        <v>76</v>
      </c>
      <c r="AM1009" s="341" t="s">
        <v>2079</v>
      </c>
      <c r="AN1009" s="345">
        <v>76001</v>
      </c>
      <c r="AO1009" s="341" t="s">
        <v>732</v>
      </c>
      <c r="AP1009" t="s">
        <v>2080</v>
      </c>
      <c r="AQ1009">
        <v>76001</v>
      </c>
      <c r="AR1009" s="350">
        <v>99.73</v>
      </c>
      <c r="AS1009" s="350">
        <v>99.76</v>
      </c>
      <c r="AT1009" s="350">
        <v>98.12</v>
      </c>
    </row>
    <row r="1010" spans="38:46">
      <c r="AL1010" s="346">
        <v>76</v>
      </c>
      <c r="AM1010" s="342" t="s">
        <v>2079</v>
      </c>
      <c r="AN1010" s="346">
        <v>76020</v>
      </c>
      <c r="AO1010" s="342" t="s">
        <v>72</v>
      </c>
      <c r="AP1010" t="s">
        <v>2081</v>
      </c>
      <c r="AQ1010">
        <v>76020</v>
      </c>
      <c r="AR1010" s="350">
        <v>93.06</v>
      </c>
      <c r="AS1010" s="350">
        <v>91.73</v>
      </c>
      <c r="AT1010" s="350">
        <v>97.79</v>
      </c>
    </row>
    <row r="1011" spans="38:46">
      <c r="AL1011" s="345">
        <v>76</v>
      </c>
      <c r="AM1011" s="341" t="s">
        <v>2079</v>
      </c>
      <c r="AN1011" s="345">
        <v>76036</v>
      </c>
      <c r="AO1011" s="341" t="s">
        <v>102</v>
      </c>
      <c r="AP1011" t="s">
        <v>2082</v>
      </c>
      <c r="AQ1011">
        <v>76036</v>
      </c>
      <c r="AR1011" s="350">
        <v>99.22</v>
      </c>
      <c r="AS1011" s="350">
        <v>99.4</v>
      </c>
      <c r="AT1011" s="350">
        <v>98.66</v>
      </c>
    </row>
    <row r="1012" spans="38:46">
      <c r="AL1012" s="346">
        <v>76</v>
      </c>
      <c r="AM1012" s="342" t="s">
        <v>2079</v>
      </c>
      <c r="AN1012" s="346">
        <v>76041</v>
      </c>
      <c r="AO1012" s="342" t="s">
        <v>133</v>
      </c>
      <c r="AP1012" t="s">
        <v>2083</v>
      </c>
      <c r="AQ1012">
        <v>76041</v>
      </c>
      <c r="AR1012" s="350">
        <v>98.96</v>
      </c>
      <c r="AS1012" s="350">
        <v>99.69</v>
      </c>
      <c r="AT1012" s="350">
        <v>97.84</v>
      </c>
    </row>
    <row r="1013" spans="38:46">
      <c r="AL1013" s="345">
        <v>76</v>
      </c>
      <c r="AM1013" s="341" t="s">
        <v>2079</v>
      </c>
      <c r="AN1013" s="345">
        <v>76054</v>
      </c>
      <c r="AO1013" s="341" t="s">
        <v>87</v>
      </c>
      <c r="AP1013" t="s">
        <v>2084</v>
      </c>
      <c r="AQ1013">
        <v>76054</v>
      </c>
      <c r="AR1013" s="350">
        <v>98.61</v>
      </c>
      <c r="AS1013" s="350">
        <v>99.25</v>
      </c>
      <c r="AT1013" s="350">
        <v>97.88</v>
      </c>
    </row>
    <row r="1014" spans="38:46">
      <c r="AL1014" s="346">
        <v>76</v>
      </c>
      <c r="AM1014" s="342" t="s">
        <v>2079</v>
      </c>
      <c r="AN1014" s="346">
        <v>76100</v>
      </c>
      <c r="AO1014" s="342" t="s">
        <v>10</v>
      </c>
      <c r="AP1014" t="s">
        <v>2085</v>
      </c>
      <c r="AQ1014">
        <v>76100</v>
      </c>
      <c r="AR1014" s="350">
        <v>92.9</v>
      </c>
      <c r="AS1014" s="350">
        <v>99.17</v>
      </c>
      <c r="AT1014" s="350">
        <v>90.32</v>
      </c>
    </row>
    <row r="1015" spans="38:46">
      <c r="AL1015" s="345">
        <v>76</v>
      </c>
      <c r="AM1015" s="341" t="s">
        <v>2079</v>
      </c>
      <c r="AN1015" s="345">
        <v>76109</v>
      </c>
      <c r="AO1015" s="341" t="s">
        <v>221</v>
      </c>
      <c r="AP1015" t="s">
        <v>2086</v>
      </c>
      <c r="AQ1015">
        <v>76109</v>
      </c>
      <c r="AR1015" s="350">
        <v>90.8</v>
      </c>
      <c r="AS1015" s="350">
        <v>97.41</v>
      </c>
      <c r="AT1015" s="350">
        <v>58.59</v>
      </c>
    </row>
    <row r="1016" spans="38:46">
      <c r="AL1016" s="346">
        <v>76</v>
      </c>
      <c r="AM1016" s="342" t="s">
        <v>2079</v>
      </c>
      <c r="AN1016" s="346">
        <v>76111</v>
      </c>
      <c r="AO1016" s="342" t="s">
        <v>542</v>
      </c>
      <c r="AP1016" t="s">
        <v>2087</v>
      </c>
      <c r="AQ1016">
        <v>76111</v>
      </c>
      <c r="AR1016" s="350">
        <v>99.45</v>
      </c>
      <c r="AS1016" s="350">
        <v>99.84</v>
      </c>
      <c r="AT1016" s="350">
        <v>96.92</v>
      </c>
    </row>
    <row r="1017" spans="38:46">
      <c r="AL1017" s="345">
        <v>76</v>
      </c>
      <c r="AM1017" s="341" t="s">
        <v>2079</v>
      </c>
      <c r="AN1017" s="345">
        <v>76113</v>
      </c>
      <c r="AO1017" s="341" t="s">
        <v>250</v>
      </c>
      <c r="AP1017" t="s">
        <v>2088</v>
      </c>
      <c r="AQ1017">
        <v>76113</v>
      </c>
      <c r="AR1017" s="350">
        <v>97.26</v>
      </c>
      <c r="AS1017" s="350">
        <v>98.97</v>
      </c>
      <c r="AT1017" s="350">
        <v>95.4</v>
      </c>
    </row>
    <row r="1018" spans="38:46">
      <c r="AL1018" s="346">
        <v>76</v>
      </c>
      <c r="AM1018" s="342" t="s">
        <v>2079</v>
      </c>
      <c r="AN1018" s="346">
        <v>76122</v>
      </c>
      <c r="AO1018" s="342" t="s">
        <v>276</v>
      </c>
      <c r="AP1018" t="s">
        <v>2089</v>
      </c>
      <c r="AQ1018">
        <v>76122</v>
      </c>
      <c r="AR1018" s="350">
        <v>99.27</v>
      </c>
      <c r="AS1018" s="350">
        <v>99.46</v>
      </c>
      <c r="AT1018" s="350">
        <v>98.43</v>
      </c>
    </row>
    <row r="1019" spans="38:46">
      <c r="AL1019" s="345">
        <v>76</v>
      </c>
      <c r="AM1019" s="341" t="s">
        <v>2079</v>
      </c>
      <c r="AN1019" s="345">
        <v>76126</v>
      </c>
      <c r="AO1019" s="341" t="s">
        <v>302</v>
      </c>
      <c r="AP1019" t="s">
        <v>2090</v>
      </c>
      <c r="AQ1019">
        <v>76126</v>
      </c>
      <c r="AR1019" s="350">
        <v>98.56</v>
      </c>
      <c r="AS1019" s="350">
        <v>99.39</v>
      </c>
      <c r="AT1019" s="350">
        <v>96.86</v>
      </c>
    </row>
    <row r="1020" spans="38:46">
      <c r="AL1020" s="346">
        <v>76</v>
      </c>
      <c r="AM1020" s="342" t="s">
        <v>2079</v>
      </c>
      <c r="AN1020" s="346">
        <v>76130</v>
      </c>
      <c r="AO1020" s="342" t="s">
        <v>140</v>
      </c>
      <c r="AP1020" t="s">
        <v>2091</v>
      </c>
      <c r="AQ1020">
        <v>76130</v>
      </c>
      <c r="AR1020" s="350">
        <v>99.5</v>
      </c>
      <c r="AS1020" s="350">
        <v>99.53</v>
      </c>
      <c r="AT1020" s="350">
        <v>99.49</v>
      </c>
    </row>
    <row r="1021" spans="38:46">
      <c r="AL1021" s="345">
        <v>76</v>
      </c>
      <c r="AM1021" s="341" t="s">
        <v>2079</v>
      </c>
      <c r="AN1021" s="345">
        <v>76147</v>
      </c>
      <c r="AO1021" s="341" t="s">
        <v>352</v>
      </c>
      <c r="AP1021" t="s">
        <v>2092</v>
      </c>
      <c r="AQ1021">
        <v>76147</v>
      </c>
      <c r="AR1021" s="350">
        <v>99.59</v>
      </c>
      <c r="AS1021" s="350">
        <v>99.62</v>
      </c>
      <c r="AT1021" s="350">
        <v>98.72</v>
      </c>
    </row>
    <row r="1022" spans="38:46">
      <c r="AL1022" s="346">
        <v>76</v>
      </c>
      <c r="AM1022" s="342" t="s">
        <v>2079</v>
      </c>
      <c r="AN1022" s="346">
        <v>76233</v>
      </c>
      <c r="AO1022" s="342" t="s">
        <v>375</v>
      </c>
      <c r="AP1022" t="s">
        <v>2093</v>
      </c>
      <c r="AQ1022">
        <v>76233</v>
      </c>
      <c r="AR1022" s="350">
        <v>94.98</v>
      </c>
      <c r="AS1022" s="350">
        <v>98.9</v>
      </c>
      <c r="AT1022" s="350">
        <v>93.77</v>
      </c>
    </row>
    <row r="1023" spans="38:46">
      <c r="AL1023" s="345">
        <v>76</v>
      </c>
      <c r="AM1023" s="341" t="s">
        <v>2079</v>
      </c>
      <c r="AN1023" s="345">
        <v>76243</v>
      </c>
      <c r="AO1023" s="341" t="s">
        <v>399</v>
      </c>
      <c r="AP1023" t="s">
        <v>2094</v>
      </c>
      <c r="AQ1023">
        <v>76243</v>
      </c>
      <c r="AR1023" s="350">
        <v>97.94</v>
      </c>
      <c r="AS1023" s="350">
        <v>99.74</v>
      </c>
      <c r="AT1023" s="350">
        <v>97.08</v>
      </c>
    </row>
    <row r="1024" spans="38:46">
      <c r="AL1024" s="346">
        <v>76</v>
      </c>
      <c r="AM1024" s="342" t="s">
        <v>2079</v>
      </c>
      <c r="AN1024" s="346">
        <v>76246</v>
      </c>
      <c r="AO1024" s="342" t="s">
        <v>421</v>
      </c>
      <c r="AP1024" t="s">
        <v>2095</v>
      </c>
      <c r="AQ1024">
        <v>76246</v>
      </c>
      <c r="AR1024" s="350">
        <v>98.38</v>
      </c>
      <c r="AS1024" s="350">
        <v>99.68</v>
      </c>
      <c r="AT1024" s="350">
        <v>97.31</v>
      </c>
    </row>
    <row r="1025" spans="38:46">
      <c r="AL1025" s="345">
        <v>76</v>
      </c>
      <c r="AM1025" s="341" t="s">
        <v>2079</v>
      </c>
      <c r="AN1025" s="345">
        <v>76248</v>
      </c>
      <c r="AO1025" s="341" t="s">
        <v>443</v>
      </c>
      <c r="AP1025" t="s">
        <v>2096</v>
      </c>
      <c r="AQ1025">
        <v>76248</v>
      </c>
      <c r="AR1025" s="350">
        <v>99.69</v>
      </c>
      <c r="AS1025" s="350">
        <v>99.89</v>
      </c>
      <c r="AT1025" s="350">
        <v>99.35</v>
      </c>
    </row>
    <row r="1026" spans="38:46">
      <c r="AL1026" s="346">
        <v>76</v>
      </c>
      <c r="AM1026" s="342" t="s">
        <v>2079</v>
      </c>
      <c r="AN1026" s="346">
        <v>76250</v>
      </c>
      <c r="AO1026" s="342" t="s">
        <v>465</v>
      </c>
      <c r="AP1026" t="s">
        <v>2097</v>
      </c>
      <c r="AQ1026">
        <v>76250</v>
      </c>
      <c r="AR1026" s="350">
        <v>93.62</v>
      </c>
      <c r="AS1026" s="350">
        <v>98.95</v>
      </c>
      <c r="AT1026" s="350">
        <v>84.67</v>
      </c>
    </row>
    <row r="1027" spans="38:46">
      <c r="AL1027" s="345">
        <v>76</v>
      </c>
      <c r="AM1027" s="341" t="s">
        <v>2079</v>
      </c>
      <c r="AN1027" s="345">
        <v>76275</v>
      </c>
      <c r="AO1027" s="341" t="s">
        <v>485</v>
      </c>
      <c r="AP1027" t="s">
        <v>2098</v>
      </c>
      <c r="AQ1027">
        <v>76275</v>
      </c>
      <c r="AR1027" s="350">
        <v>96.76</v>
      </c>
      <c r="AS1027" s="350">
        <v>99.83</v>
      </c>
      <c r="AT1027" s="350">
        <v>89.76</v>
      </c>
    </row>
    <row r="1028" spans="38:46">
      <c r="AL1028" s="346">
        <v>76</v>
      </c>
      <c r="AM1028" s="342" t="s">
        <v>2079</v>
      </c>
      <c r="AN1028" s="346">
        <v>76306</v>
      </c>
      <c r="AO1028" s="342" t="s">
        <v>505</v>
      </c>
      <c r="AP1028" t="s">
        <v>2099</v>
      </c>
      <c r="AQ1028">
        <v>76306</v>
      </c>
      <c r="AR1028" s="350">
        <v>99.12</v>
      </c>
      <c r="AS1028" s="350">
        <v>99.86</v>
      </c>
      <c r="AT1028" s="350">
        <v>98.49</v>
      </c>
    </row>
    <row r="1029" spans="38:46">
      <c r="AL1029" s="345">
        <v>76</v>
      </c>
      <c r="AM1029" s="341" t="s">
        <v>2079</v>
      </c>
      <c r="AN1029" s="345">
        <v>76318</v>
      </c>
      <c r="AO1029" s="341" t="s">
        <v>525</v>
      </c>
      <c r="AP1029" t="s">
        <v>2100</v>
      </c>
      <c r="AQ1029">
        <v>76318</v>
      </c>
      <c r="AR1029" s="350">
        <v>99.3</v>
      </c>
      <c r="AS1029" s="350">
        <v>99.74</v>
      </c>
      <c r="AT1029" s="350">
        <v>98.69</v>
      </c>
    </row>
    <row r="1030" spans="38:46">
      <c r="AL1030" s="346">
        <v>76</v>
      </c>
      <c r="AM1030" s="342" t="s">
        <v>2079</v>
      </c>
      <c r="AN1030" s="346">
        <v>76364</v>
      </c>
      <c r="AO1030" s="342" t="s">
        <v>560</v>
      </c>
      <c r="AP1030" t="s">
        <v>2101</v>
      </c>
      <c r="AQ1030">
        <v>76364</v>
      </c>
      <c r="AR1030" s="350">
        <v>98.57</v>
      </c>
      <c r="AS1030" s="350">
        <v>99.82</v>
      </c>
      <c r="AT1030" s="350">
        <v>93.79</v>
      </c>
    </row>
    <row r="1031" spans="38:46">
      <c r="AL1031" s="345">
        <v>76</v>
      </c>
      <c r="AM1031" s="341" t="s">
        <v>2079</v>
      </c>
      <c r="AN1031" s="345">
        <v>76377</v>
      </c>
      <c r="AO1031" s="341" t="s">
        <v>579</v>
      </c>
      <c r="AP1031" t="s">
        <v>2102</v>
      </c>
      <c r="AQ1031">
        <v>76377</v>
      </c>
      <c r="AR1031" s="350">
        <v>97.1</v>
      </c>
      <c r="AS1031" s="350">
        <v>98.88</v>
      </c>
      <c r="AT1031" s="350">
        <v>96.62</v>
      </c>
    </row>
    <row r="1032" spans="38:46">
      <c r="AL1032" s="346">
        <v>76</v>
      </c>
      <c r="AM1032" s="342" t="s">
        <v>2079</v>
      </c>
      <c r="AN1032" s="346">
        <v>76400</v>
      </c>
      <c r="AO1032" s="342" t="s">
        <v>325</v>
      </c>
      <c r="AP1032" t="s">
        <v>2103</v>
      </c>
      <c r="AQ1032">
        <v>76400</v>
      </c>
      <c r="AR1032" s="350">
        <v>99.21</v>
      </c>
      <c r="AS1032" s="350">
        <v>99.45</v>
      </c>
      <c r="AT1032" s="350">
        <v>97.97</v>
      </c>
    </row>
    <row r="1033" spans="38:46">
      <c r="AL1033" s="345">
        <v>76</v>
      </c>
      <c r="AM1033" s="341" t="s">
        <v>2079</v>
      </c>
      <c r="AN1033" s="345">
        <v>76403</v>
      </c>
      <c r="AO1033" s="341" t="s">
        <v>137</v>
      </c>
      <c r="AP1033" t="s">
        <v>2104</v>
      </c>
      <c r="AQ1033">
        <v>76403</v>
      </c>
      <c r="AR1033" s="350">
        <v>97.3</v>
      </c>
      <c r="AS1033" s="350">
        <v>99.57</v>
      </c>
      <c r="AT1033" s="350">
        <v>91.25</v>
      </c>
    </row>
    <row r="1034" spans="38:46">
      <c r="AL1034" s="346">
        <v>76</v>
      </c>
      <c r="AM1034" s="342" t="s">
        <v>2079</v>
      </c>
      <c r="AN1034" s="346">
        <v>76497</v>
      </c>
      <c r="AO1034" s="342" t="s">
        <v>632</v>
      </c>
      <c r="AP1034" t="s">
        <v>2105</v>
      </c>
      <c r="AQ1034">
        <v>76497</v>
      </c>
      <c r="AR1034" s="350">
        <v>96.88</v>
      </c>
      <c r="AS1034" s="350">
        <v>96.38</v>
      </c>
      <c r="AT1034" s="350">
        <v>98.19</v>
      </c>
    </row>
    <row r="1035" spans="38:46">
      <c r="AL1035" s="345">
        <v>76</v>
      </c>
      <c r="AM1035" s="341" t="s">
        <v>2079</v>
      </c>
      <c r="AN1035" s="345">
        <v>76520</v>
      </c>
      <c r="AO1035" s="341" t="s">
        <v>648</v>
      </c>
      <c r="AP1035" t="s">
        <v>2106</v>
      </c>
      <c r="AQ1035">
        <v>76520</v>
      </c>
      <c r="AR1035" s="350">
        <v>99.63</v>
      </c>
      <c r="AS1035" s="350">
        <v>99.86</v>
      </c>
      <c r="AT1035" s="350">
        <v>98.9</v>
      </c>
    </row>
    <row r="1036" spans="38:46">
      <c r="AL1036" s="346">
        <v>76</v>
      </c>
      <c r="AM1036" s="342" t="s">
        <v>2079</v>
      </c>
      <c r="AN1036" s="346">
        <v>76563</v>
      </c>
      <c r="AO1036" s="342" t="s">
        <v>664</v>
      </c>
      <c r="AP1036" t="s">
        <v>2107</v>
      </c>
      <c r="AQ1036">
        <v>76563</v>
      </c>
      <c r="AR1036" s="350">
        <v>96.86</v>
      </c>
      <c r="AS1036" s="350">
        <v>97.9</v>
      </c>
      <c r="AT1036" s="350">
        <v>89.67</v>
      </c>
    </row>
    <row r="1037" spans="38:46">
      <c r="AL1037" s="345">
        <v>76</v>
      </c>
      <c r="AM1037" s="341" t="s">
        <v>2079</v>
      </c>
      <c r="AN1037" s="345">
        <v>76606</v>
      </c>
      <c r="AO1037" s="341" t="s">
        <v>573</v>
      </c>
      <c r="AP1037" t="s">
        <v>2108</v>
      </c>
      <c r="AQ1037">
        <v>76606</v>
      </c>
      <c r="AR1037" s="350">
        <v>99.27</v>
      </c>
      <c r="AS1037" s="350">
        <v>99.58</v>
      </c>
      <c r="AT1037" s="350">
        <v>98.63</v>
      </c>
    </row>
    <row r="1038" spans="38:46">
      <c r="AL1038" s="346">
        <v>76</v>
      </c>
      <c r="AM1038" s="342" t="s">
        <v>2079</v>
      </c>
      <c r="AN1038" s="346">
        <v>76616</v>
      </c>
      <c r="AO1038" s="342" t="s">
        <v>694</v>
      </c>
      <c r="AP1038" t="s">
        <v>2109</v>
      </c>
      <c r="AQ1038">
        <v>76616</v>
      </c>
      <c r="AR1038" s="350">
        <v>97.78</v>
      </c>
      <c r="AS1038" s="350">
        <v>99.56</v>
      </c>
      <c r="AT1038" s="350">
        <v>96.44</v>
      </c>
    </row>
    <row r="1039" spans="38:46">
      <c r="AL1039" s="345">
        <v>76</v>
      </c>
      <c r="AM1039" s="341" t="s">
        <v>2079</v>
      </c>
      <c r="AN1039" s="345">
        <v>76622</v>
      </c>
      <c r="AO1039" s="341" t="s">
        <v>709</v>
      </c>
      <c r="AP1039" t="s">
        <v>2110</v>
      </c>
      <c r="AQ1039">
        <v>76622</v>
      </c>
      <c r="AR1039" s="350">
        <v>99.34</v>
      </c>
      <c r="AS1039" s="350">
        <v>99.8</v>
      </c>
      <c r="AT1039" s="350">
        <v>97.88</v>
      </c>
    </row>
    <row r="1040" spans="38:46">
      <c r="AL1040" s="346">
        <v>76</v>
      </c>
      <c r="AM1040" s="342" t="s">
        <v>2079</v>
      </c>
      <c r="AN1040" s="346">
        <v>76670</v>
      </c>
      <c r="AO1040" s="342" t="s">
        <v>597</v>
      </c>
      <c r="AP1040" t="s">
        <v>2111</v>
      </c>
      <c r="AQ1040">
        <v>76670</v>
      </c>
      <c r="AR1040" s="350">
        <v>97.86</v>
      </c>
      <c r="AS1040" s="350">
        <v>99.82</v>
      </c>
      <c r="AT1040" s="350">
        <v>96.19</v>
      </c>
    </row>
    <row r="1041" spans="38:46">
      <c r="AL1041" s="345">
        <v>76</v>
      </c>
      <c r="AM1041" s="341" t="s">
        <v>2079</v>
      </c>
      <c r="AN1041" s="345">
        <v>76736</v>
      </c>
      <c r="AO1041" s="341" t="s">
        <v>742</v>
      </c>
      <c r="AP1041" t="s">
        <v>2112</v>
      </c>
      <c r="AQ1041">
        <v>76736</v>
      </c>
      <c r="AR1041" s="350">
        <v>98.48</v>
      </c>
      <c r="AS1041" s="350">
        <v>99.21</v>
      </c>
      <c r="AT1041" s="350">
        <v>96.16</v>
      </c>
    </row>
    <row r="1042" spans="38:46">
      <c r="AL1042" s="346">
        <v>76</v>
      </c>
      <c r="AM1042" s="342" t="s">
        <v>2079</v>
      </c>
      <c r="AN1042" s="346">
        <v>76823</v>
      </c>
      <c r="AO1042" s="342" t="s">
        <v>754</v>
      </c>
      <c r="AP1042" t="s">
        <v>2113</v>
      </c>
      <c r="AQ1042">
        <v>76823</v>
      </c>
      <c r="AR1042" s="350">
        <v>97.57</v>
      </c>
      <c r="AS1042" s="350">
        <v>98.27</v>
      </c>
      <c r="AT1042" s="350">
        <v>95.92</v>
      </c>
    </row>
    <row r="1043" spans="38:46">
      <c r="AL1043" s="345">
        <v>76</v>
      </c>
      <c r="AM1043" s="341" t="s">
        <v>2079</v>
      </c>
      <c r="AN1043" s="345">
        <v>76828</v>
      </c>
      <c r="AO1043" s="341" t="s">
        <v>766</v>
      </c>
      <c r="AP1043" t="s">
        <v>2114</v>
      </c>
      <c r="AQ1043">
        <v>76828</v>
      </c>
      <c r="AR1043" s="350">
        <v>97.45</v>
      </c>
      <c r="AS1043" s="350">
        <v>99.17</v>
      </c>
      <c r="AT1043" s="350">
        <v>95.67</v>
      </c>
    </row>
    <row r="1044" spans="38:46">
      <c r="AL1044" s="346">
        <v>76</v>
      </c>
      <c r="AM1044" s="342" t="s">
        <v>2079</v>
      </c>
      <c r="AN1044" s="346">
        <v>76834</v>
      </c>
      <c r="AO1044" s="342" t="s">
        <v>777</v>
      </c>
      <c r="AP1044" t="s">
        <v>2115</v>
      </c>
      <c r="AQ1044">
        <v>76834</v>
      </c>
      <c r="AR1044" s="350">
        <v>99.17</v>
      </c>
      <c r="AS1044" s="350">
        <v>99.53</v>
      </c>
      <c r="AT1044" s="350">
        <v>97.06</v>
      </c>
    </row>
    <row r="1045" spans="38:46">
      <c r="AL1045" s="345">
        <v>76</v>
      </c>
      <c r="AM1045" s="341" t="s">
        <v>2079</v>
      </c>
      <c r="AN1045" s="345">
        <v>76845</v>
      </c>
      <c r="AO1045" s="341" t="s">
        <v>786</v>
      </c>
      <c r="AP1045" t="s">
        <v>2116</v>
      </c>
      <c r="AQ1045">
        <v>76845</v>
      </c>
      <c r="AR1045" s="350">
        <v>98.52</v>
      </c>
      <c r="AS1045" s="350">
        <v>98.57</v>
      </c>
      <c r="AT1045" s="350">
        <v>98.48</v>
      </c>
    </row>
    <row r="1046" spans="38:46">
      <c r="AL1046" s="346">
        <v>76</v>
      </c>
      <c r="AM1046" s="342" t="s">
        <v>2079</v>
      </c>
      <c r="AN1046" s="346">
        <v>76863</v>
      </c>
      <c r="AO1046" s="342" t="s">
        <v>795</v>
      </c>
      <c r="AP1046" t="s">
        <v>2117</v>
      </c>
      <c r="AQ1046">
        <v>76863</v>
      </c>
      <c r="AR1046" s="350">
        <v>98.91</v>
      </c>
      <c r="AS1046" s="350">
        <v>99.31</v>
      </c>
      <c r="AT1046" s="350">
        <v>98.42</v>
      </c>
    </row>
    <row r="1047" spans="38:46">
      <c r="AL1047" s="345">
        <v>76</v>
      </c>
      <c r="AM1047" s="341" t="s">
        <v>2079</v>
      </c>
      <c r="AN1047" s="345">
        <v>76869</v>
      </c>
      <c r="AO1047" s="341" t="s">
        <v>806</v>
      </c>
      <c r="AP1047" t="s">
        <v>2118</v>
      </c>
      <c r="AQ1047">
        <v>76869</v>
      </c>
      <c r="AR1047" s="350">
        <v>98.15</v>
      </c>
      <c r="AS1047" s="350">
        <v>99.06</v>
      </c>
      <c r="AT1047" s="350">
        <v>96.16</v>
      </c>
    </row>
    <row r="1048" spans="38:46">
      <c r="AL1048" s="346">
        <v>76</v>
      </c>
      <c r="AM1048" s="342" t="s">
        <v>2079</v>
      </c>
      <c r="AN1048" s="346">
        <v>76890</v>
      </c>
      <c r="AO1048" s="342" t="s">
        <v>816</v>
      </c>
      <c r="AP1048" t="s">
        <v>2119</v>
      </c>
      <c r="AQ1048">
        <v>76890</v>
      </c>
      <c r="AR1048" s="350">
        <v>98.84</v>
      </c>
      <c r="AS1048" s="350">
        <v>99.58</v>
      </c>
      <c r="AT1048" s="350">
        <v>97.96</v>
      </c>
    </row>
    <row r="1049" spans="38:46">
      <c r="AL1049" s="345">
        <v>76</v>
      </c>
      <c r="AM1049" s="341" t="s">
        <v>2079</v>
      </c>
      <c r="AN1049" s="345">
        <v>76892</v>
      </c>
      <c r="AO1049" s="341" t="s">
        <v>826</v>
      </c>
      <c r="AP1049" t="s">
        <v>2120</v>
      </c>
      <c r="AQ1049">
        <v>76892</v>
      </c>
      <c r="AR1049" s="350">
        <v>99.29</v>
      </c>
      <c r="AS1049" s="350">
        <v>99.62</v>
      </c>
      <c r="AT1049" s="350">
        <v>97.3</v>
      </c>
    </row>
    <row r="1050" spans="38:46">
      <c r="AL1050" s="346">
        <v>76</v>
      </c>
      <c r="AM1050" s="342" t="s">
        <v>2079</v>
      </c>
      <c r="AN1050" s="346">
        <v>76895</v>
      </c>
      <c r="AO1050" s="342" t="s">
        <v>836</v>
      </c>
      <c r="AP1050" t="s">
        <v>2121</v>
      </c>
      <c r="AQ1050">
        <v>76895</v>
      </c>
      <c r="AR1050" s="350">
        <v>98.82</v>
      </c>
      <c r="AS1050" s="350">
        <v>99.38</v>
      </c>
      <c r="AT1050" s="350">
        <v>97.1</v>
      </c>
    </row>
    <row r="1051" spans="38:46">
      <c r="AL1051" s="345">
        <v>81</v>
      </c>
      <c r="AM1051" s="341" t="s">
        <v>6</v>
      </c>
      <c r="AN1051" s="345">
        <v>81001</v>
      </c>
      <c r="AO1051" s="341" t="s">
        <v>6</v>
      </c>
      <c r="AP1051" t="s">
        <v>2122</v>
      </c>
      <c r="AQ1051">
        <v>81001</v>
      </c>
      <c r="AR1051" s="350">
        <v>93.67</v>
      </c>
      <c r="AS1051" s="350">
        <v>96.7</v>
      </c>
      <c r="AT1051" s="350">
        <v>73.09</v>
      </c>
    </row>
    <row r="1052" spans="38:46">
      <c r="AL1052" s="346">
        <v>81</v>
      </c>
      <c r="AM1052" s="342" t="s">
        <v>6</v>
      </c>
      <c r="AN1052" s="346">
        <v>81065</v>
      </c>
      <c r="AO1052" s="342" t="s">
        <v>79</v>
      </c>
      <c r="AP1052" t="s">
        <v>2123</v>
      </c>
      <c r="AQ1052">
        <v>81065</v>
      </c>
      <c r="AR1052" s="350">
        <v>84.59</v>
      </c>
      <c r="AS1052" s="350">
        <v>85.36</v>
      </c>
      <c r="AT1052" s="350">
        <v>84.27</v>
      </c>
    </row>
    <row r="1053" spans="38:46">
      <c r="AL1053" s="345">
        <v>81</v>
      </c>
      <c r="AM1053" s="341" t="s">
        <v>6</v>
      </c>
      <c r="AN1053" s="345">
        <v>81220</v>
      </c>
      <c r="AO1053" s="341" t="s">
        <v>108</v>
      </c>
      <c r="AP1053" t="s">
        <v>2124</v>
      </c>
      <c r="AQ1053">
        <v>81220</v>
      </c>
      <c r="AR1053" s="350">
        <v>69.75</v>
      </c>
      <c r="AS1053" s="350">
        <v>93.63</v>
      </c>
      <c r="AT1053" s="350">
        <v>12.57</v>
      </c>
    </row>
    <row r="1054" spans="38:46">
      <c r="AL1054" s="346">
        <v>81</v>
      </c>
      <c r="AM1054" s="342" t="s">
        <v>6</v>
      </c>
      <c r="AN1054" s="346">
        <v>81300</v>
      </c>
      <c r="AO1054" s="342" t="s">
        <v>139</v>
      </c>
      <c r="AP1054" t="s">
        <v>2125</v>
      </c>
      <c r="AQ1054">
        <v>81300</v>
      </c>
      <c r="AR1054" s="350">
        <v>93.95</v>
      </c>
      <c r="AS1054" s="350">
        <v>96.91</v>
      </c>
      <c r="AT1054" s="350">
        <v>90.06</v>
      </c>
    </row>
    <row r="1055" spans="38:46">
      <c r="AL1055" s="345">
        <v>81</v>
      </c>
      <c r="AM1055" s="341" t="s">
        <v>6</v>
      </c>
      <c r="AN1055" s="345">
        <v>81591</v>
      </c>
      <c r="AO1055" s="341" t="s">
        <v>169</v>
      </c>
      <c r="AP1055" t="s">
        <v>2126</v>
      </c>
      <c r="AQ1055">
        <v>81591</v>
      </c>
      <c r="AR1055" s="350">
        <v>83.6</v>
      </c>
      <c r="AS1055" s="350">
        <v>97.66</v>
      </c>
      <c r="AT1055" s="350">
        <v>51.6</v>
      </c>
    </row>
    <row r="1056" spans="38:46">
      <c r="AL1056" s="346">
        <v>81</v>
      </c>
      <c r="AM1056" s="342" t="s">
        <v>6</v>
      </c>
      <c r="AN1056" s="346">
        <v>81736</v>
      </c>
      <c r="AO1056" s="342" t="s">
        <v>197</v>
      </c>
      <c r="AP1056" t="s">
        <v>2127</v>
      </c>
      <c r="AQ1056">
        <v>81736</v>
      </c>
      <c r="AR1056" s="350">
        <v>95.59</v>
      </c>
      <c r="AS1056" s="350">
        <v>97.82</v>
      </c>
      <c r="AT1056" s="350">
        <v>87.79</v>
      </c>
    </row>
    <row r="1057" spans="38:46">
      <c r="AL1057" s="345">
        <v>81</v>
      </c>
      <c r="AM1057" s="341" t="s">
        <v>6</v>
      </c>
      <c r="AN1057" s="345">
        <v>81794</v>
      </c>
      <c r="AO1057" s="341" t="s">
        <v>226</v>
      </c>
      <c r="AP1057" t="s">
        <v>2128</v>
      </c>
      <c r="AQ1057">
        <v>81794</v>
      </c>
      <c r="AR1057" s="350">
        <v>91.74</v>
      </c>
      <c r="AS1057" s="350">
        <v>97.84</v>
      </c>
      <c r="AT1057" s="350">
        <v>79.819999999999993</v>
      </c>
    </row>
    <row r="1058" spans="38:46">
      <c r="AL1058" s="346">
        <v>85</v>
      </c>
      <c r="AM1058" s="342" t="s">
        <v>14</v>
      </c>
      <c r="AN1058" s="346">
        <v>85001</v>
      </c>
      <c r="AO1058" s="342" t="s">
        <v>511</v>
      </c>
      <c r="AP1058" t="s">
        <v>2129</v>
      </c>
      <c r="AQ1058">
        <v>85001</v>
      </c>
      <c r="AR1058" s="350">
        <v>97.85</v>
      </c>
      <c r="AS1058" s="350">
        <v>98.85</v>
      </c>
      <c r="AT1058" s="350">
        <v>91.39</v>
      </c>
    </row>
    <row r="1059" spans="38:46">
      <c r="AL1059" s="345">
        <v>85</v>
      </c>
      <c r="AM1059" s="341" t="s">
        <v>14</v>
      </c>
      <c r="AN1059" s="345">
        <v>85010</v>
      </c>
      <c r="AO1059" s="341" t="s">
        <v>53</v>
      </c>
      <c r="AP1059" t="s">
        <v>2130</v>
      </c>
      <c r="AQ1059">
        <v>85010</v>
      </c>
      <c r="AR1059" s="350">
        <v>96.22</v>
      </c>
      <c r="AS1059" s="350">
        <v>98.61</v>
      </c>
      <c r="AT1059" s="350">
        <v>89.4</v>
      </c>
    </row>
    <row r="1060" spans="38:46">
      <c r="AL1060" s="346">
        <v>85</v>
      </c>
      <c r="AM1060" s="342" t="s">
        <v>14</v>
      </c>
      <c r="AN1060" s="346">
        <v>85015</v>
      </c>
      <c r="AO1060" s="342" t="s">
        <v>86</v>
      </c>
      <c r="AP1060" t="s">
        <v>2131</v>
      </c>
      <c r="AQ1060">
        <v>85015</v>
      </c>
      <c r="AR1060" s="350">
        <v>83.44</v>
      </c>
      <c r="AS1060" s="350">
        <v>97.85</v>
      </c>
      <c r="AT1060" s="350">
        <v>57.02</v>
      </c>
    </row>
    <row r="1061" spans="38:46">
      <c r="AL1061" s="345">
        <v>85</v>
      </c>
      <c r="AM1061" s="341" t="s">
        <v>14</v>
      </c>
      <c r="AN1061" s="345">
        <v>85125</v>
      </c>
      <c r="AO1061" s="341" t="s">
        <v>114</v>
      </c>
      <c r="AP1061" t="s">
        <v>2132</v>
      </c>
      <c r="AQ1061">
        <v>85125</v>
      </c>
      <c r="AR1061" s="350">
        <v>69.94</v>
      </c>
      <c r="AS1061" s="350">
        <v>91.26</v>
      </c>
      <c r="AT1061" s="350">
        <v>52.07</v>
      </c>
    </row>
    <row r="1062" spans="38:46">
      <c r="AL1062" s="346">
        <v>85</v>
      </c>
      <c r="AM1062" s="342" t="s">
        <v>14</v>
      </c>
      <c r="AN1062" s="346">
        <v>85136</v>
      </c>
      <c r="AO1062" s="342" t="s">
        <v>145</v>
      </c>
      <c r="AP1062" t="s">
        <v>2133</v>
      </c>
      <c r="AQ1062">
        <v>85136</v>
      </c>
      <c r="AR1062" s="350">
        <v>96.46</v>
      </c>
      <c r="AS1062" s="350">
        <v>100</v>
      </c>
      <c r="AT1062" s="350">
        <v>93.16</v>
      </c>
    </row>
    <row r="1063" spans="38:46">
      <c r="AL1063" s="345">
        <v>85</v>
      </c>
      <c r="AM1063" s="341" t="s">
        <v>14</v>
      </c>
      <c r="AN1063" s="345">
        <v>85139</v>
      </c>
      <c r="AO1063" s="341" t="s">
        <v>175</v>
      </c>
      <c r="AP1063" t="s">
        <v>2134</v>
      </c>
      <c r="AQ1063">
        <v>85139</v>
      </c>
      <c r="AR1063" s="350">
        <v>92.63</v>
      </c>
      <c r="AS1063" s="350">
        <v>98.28</v>
      </c>
      <c r="AT1063" s="350">
        <v>77</v>
      </c>
    </row>
    <row r="1064" spans="38:46">
      <c r="AL1064" s="346">
        <v>85</v>
      </c>
      <c r="AM1064" s="342" t="s">
        <v>14</v>
      </c>
      <c r="AN1064" s="346">
        <v>85162</v>
      </c>
      <c r="AO1064" s="342" t="s">
        <v>203</v>
      </c>
      <c r="AP1064" t="s">
        <v>2135</v>
      </c>
      <c r="AQ1064">
        <v>85162</v>
      </c>
      <c r="AR1064" s="350">
        <v>96.27</v>
      </c>
      <c r="AS1064" s="350">
        <v>97.84</v>
      </c>
      <c r="AT1064" s="350">
        <v>92.3</v>
      </c>
    </row>
    <row r="1065" spans="38:46">
      <c r="AL1065" s="345">
        <v>85</v>
      </c>
      <c r="AM1065" s="341" t="s">
        <v>14</v>
      </c>
      <c r="AN1065" s="345">
        <v>85225</v>
      </c>
      <c r="AO1065" s="341" t="s">
        <v>231</v>
      </c>
      <c r="AP1065" t="s">
        <v>2136</v>
      </c>
      <c r="AQ1065">
        <v>85225</v>
      </c>
      <c r="AR1065" s="350">
        <v>77.23</v>
      </c>
      <c r="AS1065" s="350">
        <v>96.26</v>
      </c>
      <c r="AT1065" s="350">
        <v>71.540000000000006</v>
      </c>
    </row>
    <row r="1066" spans="38:46">
      <c r="AL1066" s="346">
        <v>85</v>
      </c>
      <c r="AM1066" s="342" t="s">
        <v>14</v>
      </c>
      <c r="AN1066" s="346">
        <v>85230</v>
      </c>
      <c r="AO1066" s="342" t="s">
        <v>258</v>
      </c>
      <c r="AP1066" t="s">
        <v>2137</v>
      </c>
      <c r="AQ1066">
        <v>85230</v>
      </c>
      <c r="AR1066" s="350">
        <v>91.26</v>
      </c>
      <c r="AS1066" s="350">
        <v>97.12</v>
      </c>
      <c r="AT1066" s="350">
        <v>77.78</v>
      </c>
    </row>
    <row r="1067" spans="38:46">
      <c r="AL1067" s="345">
        <v>85</v>
      </c>
      <c r="AM1067" s="341" t="s">
        <v>14</v>
      </c>
      <c r="AN1067" s="345">
        <v>85250</v>
      </c>
      <c r="AO1067" s="341" t="s">
        <v>285</v>
      </c>
      <c r="AP1067" t="s">
        <v>2138</v>
      </c>
      <c r="AQ1067">
        <v>85250</v>
      </c>
      <c r="AR1067" s="350">
        <v>86.16</v>
      </c>
      <c r="AS1067" s="350">
        <v>98.04</v>
      </c>
      <c r="AT1067" s="350">
        <v>57.74</v>
      </c>
    </row>
    <row r="1068" spans="38:46">
      <c r="AL1068" s="346">
        <v>85</v>
      </c>
      <c r="AM1068" s="342" t="s">
        <v>14</v>
      </c>
      <c r="AN1068" s="346">
        <v>85263</v>
      </c>
      <c r="AO1068" s="342" t="s">
        <v>310</v>
      </c>
      <c r="AP1068" t="s">
        <v>2139</v>
      </c>
      <c r="AQ1068">
        <v>85263</v>
      </c>
      <c r="AR1068" s="350">
        <v>90.81</v>
      </c>
      <c r="AS1068" s="350">
        <v>96.89</v>
      </c>
      <c r="AT1068" s="350">
        <v>80.12</v>
      </c>
    </row>
    <row r="1069" spans="38:46">
      <c r="AL1069" s="345">
        <v>85</v>
      </c>
      <c r="AM1069" s="341" t="s">
        <v>14</v>
      </c>
      <c r="AN1069" s="345">
        <v>85279</v>
      </c>
      <c r="AO1069" s="341" t="s">
        <v>335</v>
      </c>
      <c r="AP1069" t="s">
        <v>2140</v>
      </c>
      <c r="AQ1069">
        <v>85279</v>
      </c>
      <c r="AR1069" s="350">
        <v>86.79</v>
      </c>
      <c r="AS1069" s="350">
        <v>95.4</v>
      </c>
      <c r="AT1069" s="350">
        <v>84.66</v>
      </c>
    </row>
    <row r="1070" spans="38:46">
      <c r="AL1070" s="346">
        <v>85</v>
      </c>
      <c r="AM1070" s="342" t="s">
        <v>14</v>
      </c>
      <c r="AN1070" s="346">
        <v>85300</v>
      </c>
      <c r="AO1070" s="342" t="s">
        <v>359</v>
      </c>
      <c r="AP1070" t="s">
        <v>2141</v>
      </c>
      <c r="AQ1070">
        <v>85300</v>
      </c>
      <c r="AR1070" s="350">
        <v>97.42</v>
      </c>
      <c r="AS1070" s="350">
        <v>98.38</v>
      </c>
      <c r="AT1070" s="350">
        <v>96.33</v>
      </c>
    </row>
    <row r="1071" spans="38:46">
      <c r="AL1071" s="345">
        <v>85</v>
      </c>
      <c r="AM1071" s="341" t="s">
        <v>14</v>
      </c>
      <c r="AN1071" s="345">
        <v>85315</v>
      </c>
      <c r="AO1071" s="341" t="s">
        <v>382</v>
      </c>
      <c r="AP1071" t="s">
        <v>2142</v>
      </c>
      <c r="AQ1071">
        <v>85315</v>
      </c>
      <c r="AR1071" s="350">
        <v>81.73</v>
      </c>
      <c r="AS1071" s="350">
        <v>98.4</v>
      </c>
      <c r="AT1071" s="350">
        <v>57.8</v>
      </c>
    </row>
    <row r="1072" spans="38:46">
      <c r="AL1072" s="346">
        <v>85</v>
      </c>
      <c r="AM1072" s="342" t="s">
        <v>14</v>
      </c>
      <c r="AN1072" s="346">
        <v>85325</v>
      </c>
      <c r="AO1072" s="342" t="s">
        <v>405</v>
      </c>
      <c r="AP1072" t="s">
        <v>2143</v>
      </c>
      <c r="AQ1072">
        <v>85325</v>
      </c>
      <c r="AR1072" s="350">
        <v>86.66</v>
      </c>
      <c r="AS1072" s="350">
        <v>98.94</v>
      </c>
      <c r="AT1072" s="350">
        <v>78.77</v>
      </c>
    </row>
    <row r="1073" spans="38:46">
      <c r="AL1073" s="345">
        <v>85</v>
      </c>
      <c r="AM1073" s="341" t="s">
        <v>14</v>
      </c>
      <c r="AN1073" s="345">
        <v>85400</v>
      </c>
      <c r="AO1073" s="341" t="s">
        <v>428</v>
      </c>
      <c r="AP1073" t="s">
        <v>2144</v>
      </c>
      <c r="AQ1073">
        <v>85400</v>
      </c>
      <c r="AR1073" s="350">
        <v>54.05</v>
      </c>
      <c r="AS1073" s="350">
        <v>93.58</v>
      </c>
      <c r="AT1073" s="350">
        <v>42.21</v>
      </c>
    </row>
    <row r="1074" spans="38:46">
      <c r="AL1074" s="346">
        <v>85</v>
      </c>
      <c r="AM1074" s="342" t="s">
        <v>14</v>
      </c>
      <c r="AN1074" s="346">
        <v>85410</v>
      </c>
      <c r="AO1074" s="342" t="s">
        <v>451</v>
      </c>
      <c r="AP1074" t="s">
        <v>2145</v>
      </c>
      <c r="AQ1074">
        <v>85410</v>
      </c>
      <c r="AR1074" s="350">
        <v>96.99</v>
      </c>
      <c r="AS1074" s="350">
        <v>98.98</v>
      </c>
      <c r="AT1074" s="350">
        <v>92.8</v>
      </c>
    </row>
    <row r="1075" spans="38:46">
      <c r="AL1075" s="345">
        <v>85</v>
      </c>
      <c r="AM1075" s="341" t="s">
        <v>14</v>
      </c>
      <c r="AN1075" s="345">
        <v>85430</v>
      </c>
      <c r="AO1075" s="341" t="s">
        <v>471</v>
      </c>
      <c r="AP1075" t="s">
        <v>2146</v>
      </c>
      <c r="AQ1075">
        <v>85430</v>
      </c>
      <c r="AR1075" s="350">
        <v>85.69</v>
      </c>
      <c r="AS1075" s="350">
        <v>98.05</v>
      </c>
      <c r="AT1075" s="350">
        <v>67.64</v>
      </c>
    </row>
    <row r="1076" spans="38:46">
      <c r="AL1076" s="346">
        <v>85</v>
      </c>
      <c r="AM1076" s="342" t="s">
        <v>14</v>
      </c>
      <c r="AN1076" s="346">
        <v>85440</v>
      </c>
      <c r="AO1076" s="342" t="s">
        <v>435</v>
      </c>
      <c r="AP1076" t="s">
        <v>2147</v>
      </c>
      <c r="AQ1076">
        <v>85440</v>
      </c>
      <c r="AR1076" s="350">
        <v>97.3</v>
      </c>
      <c r="AS1076" s="350">
        <v>99.3</v>
      </c>
      <c r="AT1076" s="350">
        <v>89.97</v>
      </c>
    </row>
    <row r="1077" spans="38:46">
      <c r="AL1077" s="345">
        <v>86</v>
      </c>
      <c r="AM1077" s="341" t="s">
        <v>28</v>
      </c>
      <c r="AN1077" s="345">
        <v>86001</v>
      </c>
      <c r="AO1077" s="341" t="s">
        <v>98</v>
      </c>
      <c r="AP1077" t="s">
        <v>2148</v>
      </c>
      <c r="AQ1077">
        <v>86001</v>
      </c>
      <c r="AR1077" s="350">
        <v>95.44</v>
      </c>
      <c r="AS1077" s="350">
        <v>99.03</v>
      </c>
      <c r="AT1077" s="350">
        <v>84.71</v>
      </c>
    </row>
    <row r="1078" spans="38:46">
      <c r="AL1078" s="346">
        <v>86</v>
      </c>
      <c r="AM1078" s="342" t="s">
        <v>28</v>
      </c>
      <c r="AN1078" s="346">
        <v>86219</v>
      </c>
      <c r="AO1078" s="342" t="s">
        <v>66</v>
      </c>
      <c r="AP1078" t="s">
        <v>2149</v>
      </c>
      <c r="AQ1078">
        <v>86219</v>
      </c>
      <c r="AR1078" s="350">
        <v>98.78</v>
      </c>
      <c r="AS1078" s="350">
        <v>99.36</v>
      </c>
      <c r="AT1078" s="350">
        <v>97.6</v>
      </c>
    </row>
    <row r="1079" spans="38:46">
      <c r="AL1079" s="345">
        <v>86</v>
      </c>
      <c r="AM1079" s="341" t="s">
        <v>28</v>
      </c>
      <c r="AN1079" s="345">
        <v>86320</v>
      </c>
      <c r="AO1079" s="341" t="s">
        <v>127</v>
      </c>
      <c r="AP1079" t="s">
        <v>2150</v>
      </c>
      <c r="AQ1079">
        <v>86320</v>
      </c>
      <c r="AR1079" s="350">
        <v>73.069999999999993</v>
      </c>
      <c r="AS1079" s="350">
        <v>92.42</v>
      </c>
      <c r="AT1079" s="350">
        <v>51.18</v>
      </c>
    </row>
    <row r="1080" spans="38:46">
      <c r="AL1080" s="346">
        <v>86</v>
      </c>
      <c r="AM1080" s="342" t="s">
        <v>28</v>
      </c>
      <c r="AN1080" s="346">
        <v>86568</v>
      </c>
      <c r="AO1080" s="342" t="s">
        <v>158</v>
      </c>
      <c r="AP1080" t="s">
        <v>2151</v>
      </c>
      <c r="AQ1080">
        <v>86568</v>
      </c>
      <c r="AR1080" s="350">
        <v>70.33</v>
      </c>
      <c r="AS1080" s="350">
        <v>95.58</v>
      </c>
      <c r="AT1080" s="350">
        <v>29.8</v>
      </c>
    </row>
    <row r="1081" spans="38:46">
      <c r="AL1081" s="345">
        <v>86</v>
      </c>
      <c r="AM1081" s="341" t="s">
        <v>28</v>
      </c>
      <c r="AN1081" s="345">
        <v>86569</v>
      </c>
      <c r="AO1081" s="341" t="s">
        <v>188</v>
      </c>
      <c r="AP1081" t="s">
        <v>2152</v>
      </c>
      <c r="AQ1081">
        <v>86569</v>
      </c>
      <c r="AR1081" s="350">
        <v>71.900000000000006</v>
      </c>
      <c r="AS1081" s="350">
        <v>96.47</v>
      </c>
      <c r="AT1081" s="350">
        <v>54.22</v>
      </c>
    </row>
    <row r="1082" spans="38:46">
      <c r="AL1082" s="346">
        <v>86</v>
      </c>
      <c r="AM1082" s="342" t="s">
        <v>28</v>
      </c>
      <c r="AN1082" s="346">
        <v>86571</v>
      </c>
      <c r="AO1082" s="342" t="s">
        <v>215</v>
      </c>
      <c r="AP1082" t="s">
        <v>2153</v>
      </c>
      <c r="AQ1082">
        <v>86571</v>
      </c>
      <c r="AR1082" s="350">
        <v>45.17</v>
      </c>
      <c r="AS1082" s="350">
        <v>95.16</v>
      </c>
      <c r="AT1082" s="350">
        <v>28.68</v>
      </c>
    </row>
    <row r="1083" spans="38:46">
      <c r="AL1083" s="345">
        <v>86</v>
      </c>
      <c r="AM1083" s="341" t="s">
        <v>28</v>
      </c>
      <c r="AN1083" s="345">
        <v>86573</v>
      </c>
      <c r="AO1083" s="341" t="s">
        <v>244</v>
      </c>
      <c r="AP1083" t="s">
        <v>2154</v>
      </c>
      <c r="AQ1083">
        <v>86573</v>
      </c>
      <c r="AR1083" s="350">
        <v>60.9</v>
      </c>
      <c r="AS1083" s="350">
        <v>95.98</v>
      </c>
      <c r="AT1083" s="350">
        <v>22.86</v>
      </c>
    </row>
    <row r="1084" spans="38:46">
      <c r="AL1084" s="346">
        <v>86</v>
      </c>
      <c r="AM1084" s="342" t="s">
        <v>28</v>
      </c>
      <c r="AN1084" s="346">
        <v>86749</v>
      </c>
      <c r="AO1084" s="342" t="s">
        <v>346</v>
      </c>
      <c r="AP1084" t="s">
        <v>2155</v>
      </c>
      <c r="AQ1084">
        <v>86749</v>
      </c>
      <c r="AR1084" s="350">
        <v>99.01</v>
      </c>
      <c r="AS1084" s="350">
        <v>99.59</v>
      </c>
      <c r="AT1084" s="350">
        <v>97.51</v>
      </c>
    </row>
    <row r="1085" spans="38:46">
      <c r="AL1085" s="345">
        <v>86</v>
      </c>
      <c r="AM1085" s="341" t="s">
        <v>28</v>
      </c>
      <c r="AN1085" s="345">
        <v>86755</v>
      </c>
      <c r="AO1085" s="341" t="s">
        <v>271</v>
      </c>
      <c r="AP1085" t="s">
        <v>2156</v>
      </c>
      <c r="AQ1085">
        <v>86755</v>
      </c>
      <c r="AR1085" s="350">
        <v>97.47</v>
      </c>
      <c r="AS1085" s="350">
        <v>99.43</v>
      </c>
      <c r="AT1085" s="350">
        <v>94.19</v>
      </c>
    </row>
    <row r="1086" spans="38:46">
      <c r="AL1086" s="346">
        <v>86</v>
      </c>
      <c r="AM1086" s="342" t="s">
        <v>28</v>
      </c>
      <c r="AN1086" s="346">
        <v>86757</v>
      </c>
      <c r="AO1086" s="342" t="s">
        <v>296</v>
      </c>
      <c r="AP1086" t="s">
        <v>2157</v>
      </c>
      <c r="AQ1086">
        <v>86757</v>
      </c>
      <c r="AR1086" s="350">
        <v>58.12</v>
      </c>
      <c r="AS1086" s="350">
        <v>95</v>
      </c>
      <c r="AT1086" s="350">
        <v>38.18</v>
      </c>
    </row>
    <row r="1087" spans="38:46">
      <c r="AL1087" s="345">
        <v>86</v>
      </c>
      <c r="AM1087" s="341" t="s">
        <v>28</v>
      </c>
      <c r="AN1087" s="345">
        <v>86760</v>
      </c>
      <c r="AO1087" s="341" t="s">
        <v>322</v>
      </c>
      <c r="AP1087" t="s">
        <v>2158</v>
      </c>
      <c r="AQ1087">
        <v>86760</v>
      </c>
      <c r="AR1087" s="350">
        <v>97.47</v>
      </c>
      <c r="AS1087" s="350">
        <v>98.98</v>
      </c>
      <c r="AT1087" s="350">
        <v>95.8</v>
      </c>
    </row>
    <row r="1088" spans="38:46">
      <c r="AL1088" s="346">
        <v>86</v>
      </c>
      <c r="AM1088" s="342" t="s">
        <v>28</v>
      </c>
      <c r="AN1088" s="346">
        <v>86865</v>
      </c>
      <c r="AO1088" s="342" t="s">
        <v>369</v>
      </c>
      <c r="AP1088" t="s">
        <v>2159</v>
      </c>
      <c r="AQ1088">
        <v>86865</v>
      </c>
      <c r="AR1088" s="350">
        <v>78.44</v>
      </c>
      <c r="AS1088" s="350">
        <v>97.38</v>
      </c>
      <c r="AT1088" s="350">
        <v>59.15</v>
      </c>
    </row>
    <row r="1089" spans="38:46">
      <c r="AL1089" s="345">
        <v>86</v>
      </c>
      <c r="AM1089" s="341" t="s">
        <v>28</v>
      </c>
      <c r="AN1089" s="345">
        <v>86885</v>
      </c>
      <c r="AO1089" s="341" t="s">
        <v>394</v>
      </c>
      <c r="AP1089" t="s">
        <v>2160</v>
      </c>
      <c r="AQ1089">
        <v>86885</v>
      </c>
      <c r="AR1089" s="350">
        <v>87.82</v>
      </c>
      <c r="AS1089" s="350">
        <v>98.99</v>
      </c>
      <c r="AT1089" s="350">
        <v>73.19</v>
      </c>
    </row>
    <row r="1090" spans="38:46">
      <c r="AL1090" s="346">
        <v>88</v>
      </c>
      <c r="AM1090" s="342" t="s">
        <v>2161</v>
      </c>
      <c r="AN1090" s="346">
        <v>88001</v>
      </c>
      <c r="AO1090" s="342" t="s">
        <v>80</v>
      </c>
      <c r="AP1090" t="s">
        <v>2162</v>
      </c>
      <c r="AQ1090">
        <v>88001</v>
      </c>
      <c r="AR1090" s="350">
        <v>99.5</v>
      </c>
      <c r="AS1090" s="350">
        <v>99.53</v>
      </c>
      <c r="AT1090" s="350">
        <v>99.44</v>
      </c>
    </row>
    <row r="1091" spans="38:46">
      <c r="AL1091" s="345">
        <v>88</v>
      </c>
      <c r="AM1091" s="341" t="s">
        <v>2161</v>
      </c>
      <c r="AN1091" s="345">
        <v>88564</v>
      </c>
      <c r="AO1091" s="341" t="s">
        <v>46</v>
      </c>
      <c r="AP1091" t="s">
        <v>2163</v>
      </c>
      <c r="AQ1091">
        <v>88564</v>
      </c>
      <c r="AR1091" s="350">
        <v>98.61</v>
      </c>
      <c r="AS1091" s="350">
        <v>99.6</v>
      </c>
      <c r="AT1091" s="350">
        <v>97.81</v>
      </c>
    </row>
    <row r="1092" spans="38:46">
      <c r="AL1092" s="346">
        <v>91</v>
      </c>
      <c r="AM1092" s="342" t="s">
        <v>4</v>
      </c>
      <c r="AN1092" s="346">
        <v>91001</v>
      </c>
      <c r="AO1092" s="342" t="s">
        <v>167</v>
      </c>
      <c r="AP1092" t="s">
        <v>2164</v>
      </c>
      <c r="AQ1092">
        <v>91001</v>
      </c>
      <c r="AR1092" s="350">
        <v>90.61</v>
      </c>
      <c r="AS1092" s="350">
        <v>92.42</v>
      </c>
      <c r="AT1092" s="350">
        <v>83.7</v>
      </c>
    </row>
    <row r="1093" spans="38:46">
      <c r="AL1093" s="345">
        <v>91</v>
      </c>
      <c r="AM1093" s="341" t="s">
        <v>4</v>
      </c>
      <c r="AN1093" s="345">
        <v>91263</v>
      </c>
      <c r="AO1093" s="341" t="s">
        <v>44</v>
      </c>
      <c r="AP1093" t="s">
        <v>2165</v>
      </c>
      <c r="AQ1093">
        <v>91263</v>
      </c>
      <c r="AR1093" s="350">
        <v>45.04</v>
      </c>
      <c r="AS1093" s="350">
        <v>0</v>
      </c>
      <c r="AT1093" s="350">
        <v>45.04</v>
      </c>
    </row>
    <row r="1094" spans="38:46">
      <c r="AL1094" s="346">
        <v>91</v>
      </c>
      <c r="AM1094" s="342" t="s">
        <v>4</v>
      </c>
      <c r="AN1094" s="346">
        <v>91405</v>
      </c>
      <c r="AO1094" s="342" t="s">
        <v>77</v>
      </c>
      <c r="AP1094" t="s">
        <v>2166</v>
      </c>
      <c r="AQ1094">
        <v>91405</v>
      </c>
      <c r="AR1094" s="350">
        <v>40.85</v>
      </c>
      <c r="AS1094" s="350">
        <v>0</v>
      </c>
      <c r="AT1094" s="350">
        <v>40.85</v>
      </c>
    </row>
    <row r="1095" spans="38:46">
      <c r="AL1095" s="345">
        <v>91</v>
      </c>
      <c r="AM1095" s="341" t="s">
        <v>4</v>
      </c>
      <c r="AN1095" s="345">
        <v>91407</v>
      </c>
      <c r="AO1095" s="341" t="s">
        <v>106</v>
      </c>
      <c r="AP1095" t="s">
        <v>2167</v>
      </c>
      <c r="AQ1095">
        <v>91407</v>
      </c>
      <c r="AR1095" s="350">
        <v>25.92</v>
      </c>
      <c r="AS1095" s="350">
        <v>0</v>
      </c>
      <c r="AT1095" s="350">
        <v>25.92</v>
      </c>
    </row>
    <row r="1096" spans="38:46">
      <c r="AL1096" s="346">
        <v>91</v>
      </c>
      <c r="AM1096" s="342" t="s">
        <v>4</v>
      </c>
      <c r="AN1096" s="346">
        <v>91430</v>
      </c>
      <c r="AO1096" s="342" t="s">
        <v>137</v>
      </c>
      <c r="AP1096" t="s">
        <v>2168</v>
      </c>
      <c r="AQ1096">
        <v>91430</v>
      </c>
      <c r="AR1096" s="350">
        <v>5</v>
      </c>
      <c r="AS1096" s="350">
        <v>0</v>
      </c>
      <c r="AT1096" s="350">
        <v>5</v>
      </c>
    </row>
    <row r="1097" spans="38:46">
      <c r="AL1097" s="345">
        <v>91</v>
      </c>
      <c r="AM1097" s="341" t="s">
        <v>4</v>
      </c>
      <c r="AN1097" s="345">
        <v>91460</v>
      </c>
      <c r="AO1097" s="341" t="s">
        <v>195</v>
      </c>
      <c r="AP1097" t="s">
        <v>2169</v>
      </c>
      <c r="AQ1097">
        <v>91460</v>
      </c>
      <c r="AR1097" s="350">
        <v>20.11</v>
      </c>
      <c r="AS1097" s="350">
        <v>0</v>
      </c>
      <c r="AT1097" s="350">
        <v>20.11</v>
      </c>
    </row>
    <row r="1098" spans="38:46">
      <c r="AL1098" s="346">
        <v>91</v>
      </c>
      <c r="AM1098" s="342" t="s">
        <v>4</v>
      </c>
      <c r="AN1098" s="346">
        <v>91530</v>
      </c>
      <c r="AO1098" s="342" t="s">
        <v>224</v>
      </c>
      <c r="AP1098" t="s">
        <v>2170</v>
      </c>
      <c r="AQ1098">
        <v>91530</v>
      </c>
      <c r="AR1098" s="350">
        <v>40.72</v>
      </c>
      <c r="AS1098" s="350">
        <v>0</v>
      </c>
      <c r="AT1098" s="350">
        <v>40.72</v>
      </c>
    </row>
    <row r="1099" spans="38:46">
      <c r="AL1099" s="345">
        <v>91</v>
      </c>
      <c r="AM1099" s="341" t="s">
        <v>4</v>
      </c>
      <c r="AN1099" s="345">
        <v>91536</v>
      </c>
      <c r="AO1099" s="341" t="s">
        <v>252</v>
      </c>
      <c r="AP1099" t="s">
        <v>2171</v>
      </c>
      <c r="AQ1099">
        <v>91536</v>
      </c>
      <c r="AR1099" s="350">
        <v>41.12</v>
      </c>
      <c r="AS1099" s="350">
        <v>0</v>
      </c>
      <c r="AT1099" s="350">
        <v>41.12</v>
      </c>
    </row>
    <row r="1100" spans="38:46">
      <c r="AL1100" s="346">
        <v>91</v>
      </c>
      <c r="AM1100" s="342" t="s">
        <v>4</v>
      </c>
      <c r="AN1100" s="346">
        <v>91540</v>
      </c>
      <c r="AO1100" s="342" t="s">
        <v>278</v>
      </c>
      <c r="AP1100" t="s">
        <v>2172</v>
      </c>
      <c r="AQ1100">
        <v>91540</v>
      </c>
      <c r="AR1100" s="350">
        <v>81.45</v>
      </c>
      <c r="AS1100" s="350">
        <v>86.76</v>
      </c>
      <c r="AT1100" s="350">
        <v>78.8</v>
      </c>
    </row>
    <row r="1101" spans="38:46">
      <c r="AL1101" s="345">
        <v>91</v>
      </c>
      <c r="AM1101" s="341" t="s">
        <v>4</v>
      </c>
      <c r="AN1101" s="345">
        <v>91669</v>
      </c>
      <c r="AO1101" s="341" t="s">
        <v>304</v>
      </c>
      <c r="AP1101" t="s">
        <v>2173</v>
      </c>
      <c r="AQ1101">
        <v>91669</v>
      </c>
      <c r="AR1101" s="350">
        <v>23.59</v>
      </c>
      <c r="AS1101" s="350">
        <v>0</v>
      </c>
      <c r="AT1101" s="350">
        <v>23.59</v>
      </c>
    </row>
    <row r="1102" spans="38:46">
      <c r="AL1102" s="346">
        <v>91</v>
      </c>
      <c r="AM1102" s="342" t="s">
        <v>4</v>
      </c>
      <c r="AN1102" s="346">
        <v>91798</v>
      </c>
      <c r="AO1102" s="342" t="s">
        <v>328</v>
      </c>
      <c r="AP1102" t="s">
        <v>2174</v>
      </c>
      <c r="AQ1102">
        <v>91798</v>
      </c>
      <c r="AR1102" s="350">
        <v>25.07</v>
      </c>
      <c r="AS1102" s="350">
        <v>0</v>
      </c>
      <c r="AT1102" s="350">
        <v>25.07</v>
      </c>
    </row>
    <row r="1103" spans="38:46">
      <c r="AL1103" s="345">
        <v>94</v>
      </c>
      <c r="AM1103" s="341" t="s">
        <v>20</v>
      </c>
      <c r="AN1103" s="345">
        <v>94001</v>
      </c>
      <c r="AO1103" s="341" t="s">
        <v>119</v>
      </c>
      <c r="AP1103" t="s">
        <v>2175</v>
      </c>
      <c r="AQ1103">
        <v>94001</v>
      </c>
      <c r="AR1103" s="350">
        <v>70.55</v>
      </c>
      <c r="AS1103" s="350">
        <v>84.69</v>
      </c>
      <c r="AT1103" s="350">
        <v>34.82</v>
      </c>
    </row>
    <row r="1104" spans="38:46">
      <c r="AL1104" s="346">
        <v>94</v>
      </c>
      <c r="AM1104" s="342" t="s">
        <v>20</v>
      </c>
      <c r="AN1104" s="346">
        <v>94343</v>
      </c>
      <c r="AO1104" s="342" t="s">
        <v>59</v>
      </c>
      <c r="AP1104" t="s">
        <v>2176</v>
      </c>
      <c r="AQ1104">
        <v>94343</v>
      </c>
      <c r="AR1104" s="350">
        <v>61.22</v>
      </c>
      <c r="AS1104" s="350">
        <v>0</v>
      </c>
      <c r="AT1104" s="350">
        <v>61.22</v>
      </c>
    </row>
    <row r="1105" spans="38:46">
      <c r="AL1105" s="345">
        <v>94</v>
      </c>
      <c r="AM1105" s="341" t="s">
        <v>20</v>
      </c>
      <c r="AN1105" s="345">
        <v>94883</v>
      </c>
      <c r="AO1105" s="341" t="s">
        <v>264</v>
      </c>
      <c r="AP1105" t="s">
        <v>2177</v>
      </c>
      <c r="AQ1105">
        <v>94883</v>
      </c>
      <c r="AR1105" s="350">
        <v>4.01</v>
      </c>
      <c r="AS1105" s="350">
        <v>0</v>
      </c>
      <c r="AT1105" s="350">
        <v>4.01</v>
      </c>
    </row>
    <row r="1106" spans="38:46">
      <c r="AL1106" s="346">
        <v>94</v>
      </c>
      <c r="AM1106" s="342" t="s">
        <v>20</v>
      </c>
      <c r="AN1106" s="346">
        <v>94884</v>
      </c>
      <c r="AO1106" s="342" t="s">
        <v>237</v>
      </c>
      <c r="AP1106" t="s">
        <v>2178</v>
      </c>
      <c r="AQ1106">
        <v>94884</v>
      </c>
      <c r="AR1106" s="350">
        <v>4.79</v>
      </c>
      <c r="AS1106" s="350">
        <v>0</v>
      </c>
      <c r="AT1106" s="350">
        <v>4.79</v>
      </c>
    </row>
    <row r="1107" spans="38:46">
      <c r="AL1107" s="345">
        <v>94</v>
      </c>
      <c r="AM1107" s="341" t="s">
        <v>20</v>
      </c>
      <c r="AN1107" s="345">
        <v>94885</v>
      </c>
      <c r="AO1107" s="341" t="s">
        <v>150</v>
      </c>
      <c r="AP1107" t="s">
        <v>2179</v>
      </c>
      <c r="AQ1107">
        <v>94885</v>
      </c>
      <c r="AR1107" s="350">
        <v>12.2</v>
      </c>
      <c r="AS1107" s="350">
        <v>0</v>
      </c>
      <c r="AT1107" s="350">
        <v>12.2</v>
      </c>
    </row>
    <row r="1108" spans="38:46">
      <c r="AL1108" s="346">
        <v>94</v>
      </c>
      <c r="AM1108" s="342" t="s">
        <v>20</v>
      </c>
      <c r="AN1108" s="346">
        <v>94886</v>
      </c>
      <c r="AO1108" s="342" t="s">
        <v>90</v>
      </c>
      <c r="AP1108" t="s">
        <v>2180</v>
      </c>
      <c r="AQ1108">
        <v>94886</v>
      </c>
      <c r="AR1108" s="350">
        <v>17.420000000000002</v>
      </c>
      <c r="AS1108" s="350">
        <v>0</v>
      </c>
      <c r="AT1108" s="350">
        <v>17.420000000000002</v>
      </c>
    </row>
    <row r="1109" spans="38:46">
      <c r="AL1109" s="345">
        <v>94</v>
      </c>
      <c r="AM1109" s="341" t="s">
        <v>20</v>
      </c>
      <c r="AN1109" s="345">
        <v>94887</v>
      </c>
      <c r="AO1109" s="341" t="s">
        <v>209</v>
      </c>
      <c r="AP1109" t="s">
        <v>2181</v>
      </c>
      <c r="AQ1109">
        <v>94887</v>
      </c>
      <c r="AR1109" s="350">
        <v>55.26</v>
      </c>
      <c r="AS1109" s="350">
        <v>0</v>
      </c>
      <c r="AT1109" s="350">
        <v>55.26</v>
      </c>
    </row>
    <row r="1110" spans="38:46">
      <c r="AL1110" s="346">
        <v>94</v>
      </c>
      <c r="AM1110" s="342" t="s">
        <v>20</v>
      </c>
      <c r="AN1110" s="346">
        <v>94888</v>
      </c>
      <c r="AO1110" s="342" t="s">
        <v>181</v>
      </c>
      <c r="AP1110" t="s">
        <v>2182</v>
      </c>
      <c r="AQ1110">
        <v>94888</v>
      </c>
      <c r="AR1110" s="350">
        <v>4.62</v>
      </c>
      <c r="AS1110" s="350">
        <v>0</v>
      </c>
      <c r="AT1110" s="350">
        <v>4.62</v>
      </c>
    </row>
    <row r="1111" spans="38:46">
      <c r="AL1111" s="345">
        <v>95</v>
      </c>
      <c r="AM1111" s="341" t="s">
        <v>21</v>
      </c>
      <c r="AN1111" s="345">
        <v>95001</v>
      </c>
      <c r="AO1111" s="341" t="s">
        <v>151</v>
      </c>
      <c r="AP1111" t="s">
        <v>2183</v>
      </c>
      <c r="AQ1111">
        <v>95001</v>
      </c>
      <c r="AR1111" s="350">
        <v>82.73</v>
      </c>
      <c r="AS1111" s="350">
        <v>98.55</v>
      </c>
      <c r="AT1111" s="350">
        <v>36.01</v>
      </c>
    </row>
    <row r="1112" spans="38:46">
      <c r="AL1112" s="346">
        <v>95</v>
      </c>
      <c r="AM1112" s="342" t="s">
        <v>21</v>
      </c>
      <c r="AN1112" s="346">
        <v>95015</v>
      </c>
      <c r="AO1112" s="342" t="s">
        <v>60</v>
      </c>
      <c r="AP1112" t="s">
        <v>2184</v>
      </c>
      <c r="AQ1112">
        <v>95015</v>
      </c>
      <c r="AR1112" s="350">
        <v>48.41</v>
      </c>
      <c r="AS1112" s="350">
        <v>82.95</v>
      </c>
      <c r="AT1112" s="350">
        <v>16.38</v>
      </c>
    </row>
    <row r="1113" spans="38:46">
      <c r="AL1113" s="345">
        <v>95</v>
      </c>
      <c r="AM1113" s="341" t="s">
        <v>21</v>
      </c>
      <c r="AN1113" s="345">
        <v>95025</v>
      </c>
      <c r="AO1113" s="341" t="s">
        <v>91</v>
      </c>
      <c r="AP1113" t="s">
        <v>2185</v>
      </c>
      <c r="AQ1113">
        <v>95025</v>
      </c>
      <c r="AR1113" s="350">
        <v>67.849999999999994</v>
      </c>
      <c r="AS1113" s="350">
        <v>97.82</v>
      </c>
      <c r="AT1113" s="350">
        <v>54.41</v>
      </c>
    </row>
    <row r="1114" spans="38:46">
      <c r="AL1114" s="346">
        <v>95</v>
      </c>
      <c r="AM1114" s="342" t="s">
        <v>21</v>
      </c>
      <c r="AN1114" s="346">
        <v>95200</v>
      </c>
      <c r="AO1114" s="342" t="s">
        <v>120</v>
      </c>
      <c r="AP1114" t="s">
        <v>2186</v>
      </c>
      <c r="AQ1114">
        <v>95200</v>
      </c>
      <c r="AR1114" s="350">
        <v>53.75</v>
      </c>
      <c r="AS1114" s="350">
        <v>91.07</v>
      </c>
      <c r="AT1114" s="350">
        <v>35.950000000000003</v>
      </c>
    </row>
    <row r="1115" spans="38:46">
      <c r="AL1115" s="345">
        <v>97</v>
      </c>
      <c r="AM1115" s="341" t="s">
        <v>35</v>
      </c>
      <c r="AN1115" s="345">
        <v>97001</v>
      </c>
      <c r="AO1115" s="341" t="s">
        <v>103</v>
      </c>
      <c r="AP1115" t="s">
        <v>2187</v>
      </c>
      <c r="AQ1115">
        <v>97001</v>
      </c>
      <c r="AR1115" s="350">
        <v>54.3</v>
      </c>
      <c r="AS1115" s="350">
        <v>94.09</v>
      </c>
      <c r="AT1115" s="350">
        <v>23.84</v>
      </c>
    </row>
    <row r="1116" spans="38:46">
      <c r="AL1116" s="346">
        <v>97</v>
      </c>
      <c r="AM1116" s="342" t="s">
        <v>35</v>
      </c>
      <c r="AN1116" s="346">
        <v>97161</v>
      </c>
      <c r="AO1116" s="342" t="s">
        <v>73</v>
      </c>
      <c r="AP1116" t="s">
        <v>2188</v>
      </c>
      <c r="AQ1116">
        <v>97161</v>
      </c>
      <c r="AR1116" s="350">
        <v>43.23</v>
      </c>
      <c r="AS1116" s="350">
        <v>93.09</v>
      </c>
      <c r="AT1116" s="350">
        <v>4.32</v>
      </c>
    </row>
    <row r="1117" spans="38:46">
      <c r="AL1117" s="345">
        <v>97</v>
      </c>
      <c r="AM1117" s="341" t="s">
        <v>35</v>
      </c>
      <c r="AN1117" s="345">
        <v>97511</v>
      </c>
      <c r="AO1117" s="341" t="s">
        <v>134</v>
      </c>
      <c r="AP1117" t="s">
        <v>2189</v>
      </c>
      <c r="AQ1117">
        <v>97511</v>
      </c>
      <c r="AR1117" s="350">
        <v>3.36</v>
      </c>
      <c r="AS1117" s="350">
        <v>0</v>
      </c>
      <c r="AT1117" s="350">
        <v>3.36</v>
      </c>
    </row>
    <row r="1118" spans="38:46">
      <c r="AL1118" s="346">
        <v>97</v>
      </c>
      <c r="AM1118" s="342" t="s">
        <v>35</v>
      </c>
      <c r="AN1118" s="346">
        <v>97666</v>
      </c>
      <c r="AO1118" s="342" t="s">
        <v>193</v>
      </c>
      <c r="AP1118" t="s">
        <v>2190</v>
      </c>
      <c r="AQ1118">
        <v>97666</v>
      </c>
      <c r="AR1118" s="350">
        <v>44.56</v>
      </c>
      <c r="AS1118" s="350">
        <v>88.27</v>
      </c>
      <c r="AT1118" s="350">
        <v>14.16</v>
      </c>
    </row>
    <row r="1119" spans="38:46">
      <c r="AL1119" s="345">
        <v>97</v>
      </c>
      <c r="AM1119" s="341" t="s">
        <v>35</v>
      </c>
      <c r="AN1119" s="345">
        <v>97777</v>
      </c>
      <c r="AO1119" s="341" t="s">
        <v>164</v>
      </c>
      <c r="AP1119" t="s">
        <v>2191</v>
      </c>
      <c r="AQ1119">
        <v>97777</v>
      </c>
      <c r="AR1119" s="350">
        <v>33.979999999999997</v>
      </c>
      <c r="AS1119" s="350">
        <v>0</v>
      </c>
      <c r="AT1119" s="350">
        <v>33.979999999999997</v>
      </c>
    </row>
    <row r="1120" spans="38:46">
      <c r="AL1120" s="346">
        <v>97</v>
      </c>
      <c r="AM1120" s="342" t="s">
        <v>35</v>
      </c>
      <c r="AN1120" s="346">
        <v>97889</v>
      </c>
      <c r="AO1120" s="342" t="s">
        <v>222</v>
      </c>
      <c r="AP1120" t="s">
        <v>2192</v>
      </c>
      <c r="AQ1120">
        <v>97889</v>
      </c>
      <c r="AR1120" s="350">
        <v>9.68</v>
      </c>
      <c r="AS1120" s="350">
        <v>0</v>
      </c>
      <c r="AT1120" s="350">
        <v>9.68</v>
      </c>
    </row>
    <row r="1121" spans="38:46">
      <c r="AL1121" s="345">
        <v>99</v>
      </c>
      <c r="AM1121" s="341" t="s">
        <v>36</v>
      </c>
      <c r="AN1121" s="345">
        <v>99001</v>
      </c>
      <c r="AO1121" s="341" t="s">
        <v>135</v>
      </c>
      <c r="AP1121" t="s">
        <v>2193</v>
      </c>
      <c r="AQ1121">
        <v>99001</v>
      </c>
      <c r="AR1121" s="350">
        <v>75.37</v>
      </c>
      <c r="AS1121" s="350">
        <v>89.58</v>
      </c>
      <c r="AT1121" s="350">
        <v>34.06</v>
      </c>
    </row>
    <row r="1122" spans="38:46">
      <c r="AL1122" s="346">
        <v>99</v>
      </c>
      <c r="AM1122" s="342" t="s">
        <v>36</v>
      </c>
      <c r="AN1122" s="346">
        <v>99524</v>
      </c>
      <c r="AO1122" s="342" t="s">
        <v>104</v>
      </c>
      <c r="AP1122" t="s">
        <v>2194</v>
      </c>
      <c r="AQ1122">
        <v>99524</v>
      </c>
      <c r="AR1122" s="350">
        <v>68.540000000000006</v>
      </c>
      <c r="AS1122" s="350">
        <v>91.48</v>
      </c>
      <c r="AT1122" s="350">
        <v>33.770000000000003</v>
      </c>
    </row>
    <row r="1123" spans="38:46">
      <c r="AL1123" s="345">
        <v>99</v>
      </c>
      <c r="AM1123" s="341" t="s">
        <v>36</v>
      </c>
      <c r="AN1123" s="345">
        <v>99624</v>
      </c>
      <c r="AO1123" s="341" t="s">
        <v>165</v>
      </c>
      <c r="AP1123" t="s">
        <v>2195</v>
      </c>
      <c r="AQ1123">
        <v>99624</v>
      </c>
      <c r="AR1123" s="350">
        <v>68.78</v>
      </c>
      <c r="AS1123" s="350">
        <v>96.68</v>
      </c>
      <c r="AT1123" s="350">
        <v>15.41</v>
      </c>
    </row>
    <row r="1124" spans="38:46">
      <c r="AL1124" s="347">
        <v>99</v>
      </c>
      <c r="AM1124" s="343" t="s">
        <v>36</v>
      </c>
      <c r="AN1124" s="347">
        <v>99773</v>
      </c>
      <c r="AO1124" s="343" t="s">
        <v>74</v>
      </c>
      <c r="AP1124" t="s">
        <v>2196</v>
      </c>
      <c r="AQ1124">
        <v>99773</v>
      </c>
      <c r="AR1124" s="350">
        <v>13.23</v>
      </c>
      <c r="AS1124" s="350">
        <v>93.66</v>
      </c>
      <c r="AT1124" s="350">
        <v>4.68</v>
      </c>
    </row>
  </sheetData>
  <autoFilter ref="AL3:AT1124" xr:uid="{B59994F4-140B-4A34-93A5-30DB63AABC8E}"/>
  <pageMargins left="0.7" right="0.7" top="0.75" bottom="0.75" header="0.3" footer="0.3"/>
  <tableParts count="34">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00C31-C0B3-4E0D-B6E4-077A25AC9E34}">
  <dimension ref="A1:S30"/>
  <sheetViews>
    <sheetView showGridLines="0" showRowColHeaders="0" workbookViewId="0">
      <selection sqref="A1:Q2"/>
    </sheetView>
  </sheetViews>
  <sheetFormatPr baseColWidth="10" defaultColWidth="11.453125" defaultRowHeight="14.5"/>
  <sheetData>
    <row r="1" spans="1:19">
      <c r="A1" s="401" t="s">
        <v>2619</v>
      </c>
      <c r="B1" s="402"/>
      <c r="C1" s="402"/>
      <c r="D1" s="402"/>
      <c r="E1" s="402"/>
      <c r="F1" s="402"/>
      <c r="G1" s="402"/>
      <c r="H1" s="402"/>
      <c r="I1" s="402"/>
      <c r="J1" s="402"/>
      <c r="K1" s="402"/>
      <c r="L1" s="402"/>
      <c r="M1" s="402"/>
      <c r="N1" s="402"/>
      <c r="O1" s="402"/>
      <c r="P1" s="402"/>
      <c r="Q1" s="403"/>
      <c r="R1" s="79"/>
      <c r="S1" s="79"/>
    </row>
    <row r="2" spans="1:19" ht="15" thickBot="1">
      <c r="A2" s="404"/>
      <c r="B2" s="405"/>
      <c r="C2" s="405"/>
      <c r="D2" s="405"/>
      <c r="E2" s="405"/>
      <c r="F2" s="405"/>
      <c r="G2" s="405"/>
      <c r="H2" s="405"/>
      <c r="I2" s="405"/>
      <c r="J2" s="405"/>
      <c r="K2" s="405"/>
      <c r="L2" s="405"/>
      <c r="M2" s="405"/>
      <c r="N2" s="405"/>
      <c r="O2" s="405"/>
      <c r="P2" s="405"/>
      <c r="Q2" s="406"/>
      <c r="R2" s="79"/>
      <c r="S2" s="79"/>
    </row>
    <row r="3" spans="1:19" ht="15" thickBot="1">
      <c r="A3" s="79"/>
      <c r="B3" s="79"/>
      <c r="C3" s="79"/>
      <c r="D3" s="79"/>
      <c r="E3" s="79"/>
      <c r="F3" s="79"/>
      <c r="G3" s="79"/>
      <c r="H3" s="79"/>
      <c r="I3" s="79"/>
      <c r="J3" s="79"/>
      <c r="K3" s="79"/>
      <c r="L3" s="79"/>
      <c r="M3" s="79"/>
      <c r="N3" s="79"/>
      <c r="O3" s="79"/>
      <c r="P3" s="79"/>
      <c r="Q3" s="79"/>
      <c r="R3" s="79"/>
      <c r="S3" s="79"/>
    </row>
    <row r="4" spans="1:19">
      <c r="A4" s="79"/>
      <c r="B4" s="665" t="s">
        <v>2620</v>
      </c>
      <c r="C4" s="666"/>
      <c r="D4" s="666"/>
      <c r="E4" s="667"/>
      <c r="F4" s="671">
        <f>DATOS!B216</f>
        <v>0</v>
      </c>
      <c r="G4" s="672"/>
      <c r="H4" s="672"/>
      <c r="I4" s="673"/>
      <c r="J4" s="79"/>
      <c r="K4" s="650" t="s">
        <v>2591</v>
      </c>
      <c r="L4" s="651"/>
      <c r="M4" s="651"/>
      <c r="N4" s="652"/>
      <c r="O4" s="688"/>
      <c r="P4" s="689"/>
      <c r="Q4" s="690"/>
      <c r="R4" s="79"/>
      <c r="S4" s="79"/>
    </row>
    <row r="5" spans="1:19" ht="15" thickBot="1">
      <c r="A5" s="79"/>
      <c r="B5" s="668"/>
      <c r="C5" s="669"/>
      <c r="D5" s="669"/>
      <c r="E5" s="670"/>
      <c r="F5" s="674"/>
      <c r="G5" s="675"/>
      <c r="H5" s="675"/>
      <c r="I5" s="676"/>
      <c r="J5" s="79"/>
      <c r="K5" s="677"/>
      <c r="L5" s="678"/>
      <c r="M5" s="678"/>
      <c r="N5" s="679"/>
      <c r="O5" s="691"/>
      <c r="P5" s="692"/>
      <c r="Q5" s="693"/>
      <c r="R5" s="79"/>
      <c r="S5" s="79"/>
    </row>
    <row r="6" spans="1:19" ht="15" thickBot="1">
      <c r="A6" s="79"/>
      <c r="B6" s="79"/>
      <c r="C6" s="79"/>
      <c r="D6" s="79"/>
      <c r="E6" s="79"/>
      <c r="F6" s="79"/>
      <c r="G6" s="79"/>
      <c r="H6" s="79"/>
      <c r="I6" s="79"/>
      <c r="J6" s="79"/>
      <c r="K6" s="677"/>
      <c r="L6" s="678"/>
      <c r="M6" s="678"/>
      <c r="N6" s="679"/>
      <c r="O6" s="691"/>
      <c r="P6" s="692"/>
      <c r="Q6" s="693"/>
      <c r="R6" s="79"/>
      <c r="S6" s="79"/>
    </row>
    <row r="7" spans="1:19">
      <c r="A7" s="79"/>
      <c r="B7" s="665" t="s">
        <v>2619</v>
      </c>
      <c r="C7" s="666"/>
      <c r="D7" s="666"/>
      <c r="E7" s="667"/>
      <c r="F7" s="672">
        <f>DATOS!B219</f>
        <v>0</v>
      </c>
      <c r="G7" s="672"/>
      <c r="H7" s="672"/>
      <c r="I7" s="673"/>
      <c r="J7" s="79"/>
      <c r="K7" s="677"/>
      <c r="L7" s="678"/>
      <c r="M7" s="678"/>
      <c r="N7" s="679"/>
      <c r="O7" s="691"/>
      <c r="P7" s="692"/>
      <c r="Q7" s="693"/>
      <c r="R7" s="79"/>
      <c r="S7" s="79"/>
    </row>
    <row r="8" spans="1:19" ht="15" thickBot="1">
      <c r="A8" s="79"/>
      <c r="B8" s="668"/>
      <c r="C8" s="669"/>
      <c r="D8" s="669"/>
      <c r="E8" s="670"/>
      <c r="F8" s="675"/>
      <c r="G8" s="675"/>
      <c r="H8" s="675"/>
      <c r="I8" s="676"/>
      <c r="J8" s="79"/>
      <c r="K8" s="653"/>
      <c r="L8" s="654"/>
      <c r="M8" s="654"/>
      <c r="N8" s="655"/>
      <c r="O8" s="694"/>
      <c r="P8" s="695"/>
      <c r="Q8" s="696"/>
      <c r="R8" s="79"/>
      <c r="S8" s="79"/>
    </row>
    <row r="9" spans="1:19" ht="26">
      <c r="A9" s="79"/>
      <c r="B9" s="110"/>
      <c r="C9" s="110"/>
      <c r="D9" s="110"/>
      <c r="E9" s="110"/>
      <c r="F9" s="111"/>
      <c r="G9" s="111"/>
      <c r="H9" s="111"/>
      <c r="I9" s="111"/>
      <c r="J9" s="79"/>
      <c r="K9" s="79"/>
      <c r="L9" s="79"/>
      <c r="M9" s="79"/>
      <c r="N9" s="79"/>
      <c r="O9" s="79"/>
      <c r="P9" s="79"/>
      <c r="Q9" s="79"/>
      <c r="R9" s="79"/>
      <c r="S9" s="79"/>
    </row>
    <row r="10" spans="1:19" ht="26">
      <c r="A10" s="79"/>
      <c r="B10" s="110"/>
      <c r="C10" s="110"/>
      <c r="D10" s="110"/>
      <c r="E10" s="110"/>
      <c r="F10" s="111"/>
      <c r="G10" s="111"/>
      <c r="H10" s="111"/>
      <c r="I10" s="111"/>
      <c r="J10" s="79"/>
      <c r="K10" s="79"/>
      <c r="L10" s="79"/>
      <c r="M10" s="79"/>
      <c r="N10" s="79"/>
      <c r="O10" s="79"/>
      <c r="P10" s="79"/>
      <c r="Q10" s="79"/>
      <c r="R10" s="79"/>
      <c r="S10" s="79"/>
    </row>
    <row r="11" spans="1:19" ht="15" thickBot="1">
      <c r="A11" s="79"/>
      <c r="B11" s="79"/>
      <c r="C11" s="79"/>
      <c r="D11" s="79"/>
      <c r="E11" s="79"/>
      <c r="F11" s="79"/>
      <c r="G11" s="79"/>
      <c r="H11" s="79"/>
      <c r="I11" s="79"/>
      <c r="J11" s="79"/>
      <c r="K11" s="79"/>
      <c r="L11" s="79"/>
      <c r="M11" s="79"/>
      <c r="N11" s="79"/>
      <c r="O11" s="79"/>
      <c r="P11" s="79"/>
      <c r="Q11" s="79"/>
      <c r="R11" s="79"/>
      <c r="S11" s="79"/>
    </row>
    <row r="12" spans="1:19">
      <c r="A12" s="79"/>
      <c r="B12" s="665" t="s">
        <v>2621</v>
      </c>
      <c r="C12" s="666"/>
      <c r="D12" s="666"/>
      <c r="E12" s="667"/>
      <c r="F12" s="671">
        <f>DATOS!B169</f>
        <v>200000</v>
      </c>
      <c r="G12" s="672"/>
      <c r="H12" s="672"/>
      <c r="I12" s="673"/>
      <c r="J12" s="79"/>
      <c r="K12" s="650" t="s">
        <v>2622</v>
      </c>
      <c r="L12" s="651"/>
      <c r="M12" s="651"/>
      <c r="N12" s="652"/>
      <c r="O12" s="688"/>
      <c r="P12" s="689"/>
      <c r="Q12" s="690"/>
      <c r="R12" s="79"/>
      <c r="S12" s="79"/>
    </row>
    <row r="13" spans="1:19" ht="15" thickBot="1">
      <c r="A13" s="79"/>
      <c r="B13" s="668"/>
      <c r="C13" s="669"/>
      <c r="D13" s="669"/>
      <c r="E13" s="670"/>
      <c r="F13" s="674"/>
      <c r="G13" s="675"/>
      <c r="H13" s="675"/>
      <c r="I13" s="676"/>
      <c r="J13" s="79"/>
      <c r="K13" s="677"/>
      <c r="L13" s="678"/>
      <c r="M13" s="678"/>
      <c r="N13" s="679"/>
      <c r="O13" s="691"/>
      <c r="P13" s="692"/>
      <c r="Q13" s="693"/>
      <c r="R13" s="79"/>
      <c r="S13" s="79"/>
    </row>
    <row r="14" spans="1:19" ht="15" thickBot="1">
      <c r="A14" s="79"/>
      <c r="B14" s="79"/>
      <c r="C14" s="79"/>
      <c r="D14" s="79"/>
      <c r="E14" s="79"/>
      <c r="F14" s="79"/>
      <c r="G14" s="79"/>
      <c r="H14" s="79"/>
      <c r="I14" s="79"/>
      <c r="J14" s="79"/>
      <c r="K14" s="677"/>
      <c r="L14" s="678"/>
      <c r="M14" s="678"/>
      <c r="N14" s="679"/>
      <c r="O14" s="691"/>
      <c r="P14" s="692"/>
      <c r="Q14" s="693"/>
      <c r="R14" s="79"/>
      <c r="S14" s="79"/>
    </row>
    <row r="15" spans="1:19" ht="14.5" customHeight="1">
      <c r="A15" s="79"/>
      <c r="B15" s="665" t="s">
        <v>2620</v>
      </c>
      <c r="C15" s="666"/>
      <c r="D15" s="666"/>
      <c r="E15" s="667"/>
      <c r="F15" s="671">
        <f>DATOS!B171</f>
        <v>150000</v>
      </c>
      <c r="G15" s="672"/>
      <c r="H15" s="672"/>
      <c r="I15" s="673"/>
      <c r="J15" s="79"/>
      <c r="K15" s="677"/>
      <c r="L15" s="678"/>
      <c r="M15" s="678"/>
      <c r="N15" s="679"/>
      <c r="O15" s="691"/>
      <c r="P15" s="692"/>
      <c r="Q15" s="693"/>
      <c r="R15" s="79"/>
      <c r="S15" s="79"/>
    </row>
    <row r="16" spans="1:19" ht="14.5" customHeight="1" thickBot="1">
      <c r="A16" s="79"/>
      <c r="B16" s="668"/>
      <c r="C16" s="669"/>
      <c r="D16" s="669"/>
      <c r="E16" s="670"/>
      <c r="F16" s="674"/>
      <c r="G16" s="675"/>
      <c r="H16" s="675"/>
      <c r="I16" s="676"/>
      <c r="J16" s="79"/>
      <c r="K16" s="653"/>
      <c r="L16" s="654"/>
      <c r="M16" s="654"/>
      <c r="N16" s="655"/>
      <c r="O16" s="694"/>
      <c r="P16" s="695"/>
      <c r="Q16" s="696"/>
      <c r="R16" s="79"/>
      <c r="S16" s="79"/>
    </row>
    <row r="17" spans="1:19" ht="15" thickBot="1">
      <c r="A17" s="79"/>
      <c r="B17" s="79"/>
      <c r="C17" s="79"/>
      <c r="D17" s="79"/>
      <c r="E17" s="79"/>
      <c r="F17" s="79"/>
      <c r="G17" s="79"/>
      <c r="H17" s="79"/>
      <c r="I17" s="79"/>
      <c r="J17" s="79"/>
      <c r="K17" s="79"/>
      <c r="L17" s="79"/>
      <c r="M17" s="79"/>
      <c r="N17" s="79"/>
      <c r="O17" s="79"/>
      <c r="P17" s="79"/>
      <c r="Q17" s="79"/>
      <c r="R17" s="79"/>
      <c r="S17" s="79"/>
    </row>
    <row r="18" spans="1:19">
      <c r="A18" s="79"/>
      <c r="B18" s="79"/>
      <c r="C18" s="79"/>
      <c r="D18" s="79"/>
      <c r="E18" s="518" t="s">
        <v>2623</v>
      </c>
      <c r="F18" s="680"/>
      <c r="G18" s="680"/>
      <c r="H18" s="680"/>
      <c r="I18" s="680"/>
      <c r="J18" s="680"/>
      <c r="K18" s="680"/>
      <c r="L18" s="680"/>
      <c r="M18" s="680"/>
      <c r="N18" s="680"/>
      <c r="O18" s="681"/>
      <c r="P18" s="79"/>
      <c r="Q18" s="79"/>
      <c r="R18" s="79"/>
      <c r="S18" s="79"/>
    </row>
    <row r="19" spans="1:19">
      <c r="A19" s="79"/>
      <c r="B19" s="79"/>
      <c r="C19" s="79"/>
      <c r="D19" s="79"/>
      <c r="E19" s="682"/>
      <c r="F19" s="683"/>
      <c r="G19" s="683"/>
      <c r="H19" s="683"/>
      <c r="I19" s="683"/>
      <c r="J19" s="683"/>
      <c r="K19" s="683"/>
      <c r="L19" s="683"/>
      <c r="M19" s="683"/>
      <c r="N19" s="683"/>
      <c r="O19" s="684"/>
      <c r="P19" s="79"/>
      <c r="Q19" s="79"/>
      <c r="R19" s="79"/>
      <c r="S19" s="79"/>
    </row>
    <row r="20" spans="1:19">
      <c r="A20" s="79"/>
      <c r="B20" s="79"/>
      <c r="C20" s="79"/>
      <c r="D20" s="79"/>
      <c r="E20" s="682"/>
      <c r="F20" s="683"/>
      <c r="G20" s="683"/>
      <c r="H20" s="683"/>
      <c r="I20" s="683"/>
      <c r="J20" s="683"/>
      <c r="K20" s="683"/>
      <c r="L20" s="683"/>
      <c r="M20" s="683"/>
      <c r="N20" s="683"/>
      <c r="O20" s="684"/>
      <c r="P20" s="79"/>
      <c r="Q20" s="79"/>
      <c r="R20" s="79"/>
      <c r="S20" s="79"/>
    </row>
    <row r="21" spans="1:19">
      <c r="A21" s="79"/>
      <c r="B21" s="79"/>
      <c r="C21" s="79"/>
      <c r="D21" s="79"/>
      <c r="E21" s="682"/>
      <c r="F21" s="683"/>
      <c r="G21" s="683"/>
      <c r="H21" s="683"/>
      <c r="I21" s="683"/>
      <c r="J21" s="683"/>
      <c r="K21" s="683"/>
      <c r="L21" s="683"/>
      <c r="M21" s="683"/>
      <c r="N21" s="683"/>
      <c r="O21" s="684"/>
      <c r="P21" s="79"/>
      <c r="Q21" s="79"/>
      <c r="R21" s="79"/>
      <c r="S21" s="79"/>
    </row>
    <row r="22" spans="1:19">
      <c r="A22" s="79"/>
      <c r="B22" s="79"/>
      <c r="C22" s="79"/>
      <c r="D22" s="79"/>
      <c r="E22" s="682"/>
      <c r="F22" s="683"/>
      <c r="G22" s="683"/>
      <c r="H22" s="683"/>
      <c r="I22" s="683"/>
      <c r="J22" s="683"/>
      <c r="K22" s="683"/>
      <c r="L22" s="683"/>
      <c r="M22" s="683"/>
      <c r="N22" s="683"/>
      <c r="O22" s="684"/>
      <c r="P22" s="79"/>
      <c r="Q22" s="79"/>
      <c r="R22" s="79"/>
      <c r="S22" s="79"/>
    </row>
    <row r="23" spans="1:19">
      <c r="A23" s="79"/>
      <c r="B23" s="79"/>
      <c r="C23" s="79"/>
      <c r="D23" s="79"/>
      <c r="E23" s="682"/>
      <c r="F23" s="683"/>
      <c r="G23" s="683"/>
      <c r="H23" s="683"/>
      <c r="I23" s="683"/>
      <c r="J23" s="683"/>
      <c r="K23" s="683"/>
      <c r="L23" s="683"/>
      <c r="M23" s="683"/>
      <c r="N23" s="683"/>
      <c r="O23" s="684"/>
      <c r="P23" s="79"/>
      <c r="Q23" s="79"/>
      <c r="R23" s="79"/>
      <c r="S23" s="79"/>
    </row>
    <row r="24" spans="1:19">
      <c r="A24" s="79"/>
      <c r="B24" s="79"/>
      <c r="C24" s="79"/>
      <c r="D24" s="79"/>
      <c r="E24" s="682"/>
      <c r="F24" s="683"/>
      <c r="G24" s="683"/>
      <c r="H24" s="683"/>
      <c r="I24" s="683"/>
      <c r="J24" s="683"/>
      <c r="K24" s="683"/>
      <c r="L24" s="683"/>
      <c r="M24" s="683"/>
      <c r="N24" s="683"/>
      <c r="O24" s="684"/>
      <c r="P24" s="79"/>
      <c r="Q24" s="79"/>
      <c r="R24" s="79"/>
      <c r="S24" s="79"/>
    </row>
    <row r="25" spans="1:19" ht="15" thickBot="1">
      <c r="A25" s="79"/>
      <c r="B25" s="79"/>
      <c r="C25" s="79"/>
      <c r="D25" s="79"/>
      <c r="E25" s="685"/>
      <c r="F25" s="686"/>
      <c r="G25" s="686"/>
      <c r="H25" s="686"/>
      <c r="I25" s="686"/>
      <c r="J25" s="686"/>
      <c r="K25" s="686"/>
      <c r="L25" s="686"/>
      <c r="M25" s="686"/>
      <c r="N25" s="686"/>
      <c r="O25" s="687"/>
      <c r="P25" s="79"/>
      <c r="Q25" s="79"/>
      <c r="R25" s="79"/>
      <c r="S25" s="79"/>
    </row>
    <row r="26" spans="1:19">
      <c r="A26" s="79"/>
      <c r="B26" s="79"/>
      <c r="C26" s="79"/>
      <c r="D26" s="79"/>
      <c r="E26" s="79"/>
      <c r="F26" s="79"/>
      <c r="G26" s="79"/>
      <c r="H26" s="79"/>
      <c r="I26" s="79"/>
      <c r="J26" s="79"/>
      <c r="K26" s="79"/>
      <c r="L26" s="79"/>
      <c r="M26" s="79"/>
      <c r="N26" s="79"/>
      <c r="O26" s="79"/>
      <c r="P26" s="79"/>
      <c r="Q26" s="79"/>
      <c r="R26" s="79"/>
      <c r="S26" s="79"/>
    </row>
    <row r="27" spans="1:19">
      <c r="A27" s="79"/>
      <c r="B27" s="79"/>
      <c r="C27" s="79"/>
      <c r="D27" s="79"/>
      <c r="E27" s="79"/>
      <c r="F27" s="79"/>
      <c r="G27" s="79"/>
      <c r="H27" s="79"/>
      <c r="I27" s="79"/>
      <c r="J27" s="79"/>
      <c r="K27" s="79"/>
      <c r="L27" s="79"/>
      <c r="M27" s="79"/>
      <c r="N27" s="79"/>
      <c r="O27" s="79"/>
      <c r="P27" s="79"/>
      <c r="Q27" s="79"/>
      <c r="R27" s="79"/>
      <c r="S27" s="79"/>
    </row>
    <row r="28" spans="1:19">
      <c r="A28" s="79"/>
      <c r="B28" s="79"/>
      <c r="C28" s="79"/>
      <c r="D28" s="79"/>
      <c r="E28" s="79"/>
      <c r="F28" s="79"/>
      <c r="G28" s="79"/>
      <c r="H28" s="79"/>
      <c r="I28" s="79"/>
      <c r="J28" s="79"/>
      <c r="K28" s="79"/>
      <c r="L28" s="79"/>
      <c r="M28" s="79"/>
      <c r="N28" s="79"/>
      <c r="O28" s="79"/>
      <c r="P28" s="79"/>
      <c r="Q28" s="79"/>
      <c r="R28" s="79"/>
      <c r="S28" s="79"/>
    </row>
    <row r="29" spans="1:19">
      <c r="A29" s="79"/>
      <c r="B29" s="79"/>
      <c r="C29" s="79"/>
      <c r="D29" s="79"/>
      <c r="E29" s="79"/>
      <c r="F29" s="79"/>
      <c r="G29" s="79"/>
      <c r="H29" s="79"/>
      <c r="I29" s="79"/>
      <c r="J29" s="79"/>
      <c r="K29" s="79"/>
      <c r="L29" s="79"/>
      <c r="M29" s="79"/>
      <c r="N29" s="79"/>
      <c r="O29" s="79"/>
      <c r="P29" s="79"/>
      <c r="Q29" s="79"/>
      <c r="R29" s="79"/>
      <c r="S29" s="79"/>
    </row>
    <row r="30" spans="1:19">
      <c r="A30" s="79"/>
      <c r="B30" s="79"/>
      <c r="C30" s="79"/>
      <c r="D30" s="79"/>
      <c r="E30" s="79"/>
      <c r="F30" s="79"/>
      <c r="G30" s="79"/>
      <c r="H30" s="79"/>
      <c r="I30" s="79"/>
      <c r="J30" s="79"/>
      <c r="K30" s="79"/>
      <c r="L30" s="79"/>
      <c r="M30" s="79"/>
      <c r="N30" s="79"/>
      <c r="O30" s="79"/>
      <c r="P30" s="79"/>
      <c r="Q30" s="79"/>
      <c r="R30" s="79"/>
      <c r="S30" s="79"/>
    </row>
  </sheetData>
  <mergeCells count="14">
    <mergeCell ref="A1:Q2"/>
    <mergeCell ref="B4:E5"/>
    <mergeCell ref="F4:I5"/>
    <mergeCell ref="B7:E8"/>
    <mergeCell ref="F7:I8"/>
    <mergeCell ref="B15:E16"/>
    <mergeCell ref="F15:I16"/>
    <mergeCell ref="K4:N8"/>
    <mergeCell ref="K12:N16"/>
    <mergeCell ref="E18:O25"/>
    <mergeCell ref="O12:Q16"/>
    <mergeCell ref="O4:Q8"/>
    <mergeCell ref="B12:E13"/>
    <mergeCell ref="F12:I1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577DA-7A6B-4DE7-90A4-3C488B5E2FAB}">
  <dimension ref="A1:N32"/>
  <sheetViews>
    <sheetView showGridLines="0" showRowColHeaders="0" zoomScale="85" zoomScaleNormal="85" workbookViewId="0">
      <selection sqref="A1:L2"/>
    </sheetView>
  </sheetViews>
  <sheetFormatPr baseColWidth="10" defaultColWidth="11.453125" defaultRowHeight="14.5"/>
  <cols>
    <col min="1" max="1" width="55.26953125" bestFit="1" customWidth="1"/>
    <col min="2" max="11" width="14" customWidth="1"/>
  </cols>
  <sheetData>
    <row r="1" spans="1:14">
      <c r="A1" s="401" t="s">
        <v>2624</v>
      </c>
      <c r="B1" s="402"/>
      <c r="C1" s="402"/>
      <c r="D1" s="402"/>
      <c r="E1" s="402"/>
      <c r="F1" s="402"/>
      <c r="G1" s="402"/>
      <c r="H1" s="402"/>
      <c r="I1" s="402"/>
      <c r="J1" s="402"/>
      <c r="K1" s="402"/>
      <c r="L1" s="403"/>
      <c r="M1" s="79"/>
      <c r="N1" s="79"/>
    </row>
    <row r="2" spans="1:14" ht="15" thickBot="1">
      <c r="A2" s="404"/>
      <c r="B2" s="405"/>
      <c r="C2" s="405"/>
      <c r="D2" s="405"/>
      <c r="E2" s="405"/>
      <c r="F2" s="405"/>
      <c r="G2" s="405"/>
      <c r="H2" s="405"/>
      <c r="I2" s="405"/>
      <c r="J2" s="405"/>
      <c r="K2" s="405"/>
      <c r="L2" s="406"/>
      <c r="M2" s="79"/>
      <c r="N2" s="79"/>
    </row>
    <row r="3" spans="1:14" ht="15" thickBot="1">
      <c r="A3" s="79"/>
      <c r="B3" s="79"/>
      <c r="C3" s="79"/>
      <c r="D3" s="79"/>
      <c r="E3" s="79"/>
      <c r="F3" s="79"/>
      <c r="G3" s="79"/>
      <c r="H3" s="79"/>
      <c r="I3" s="79"/>
      <c r="J3" s="79"/>
      <c r="K3" s="79"/>
      <c r="L3" s="79"/>
      <c r="M3" s="79"/>
      <c r="N3" s="79"/>
    </row>
    <row r="4" spans="1:14" ht="15" thickBot="1">
      <c r="A4" s="120" t="str">
        <f>DATOS!A193</f>
        <v>Ingresos mensuales por otras actividades económicas</v>
      </c>
      <c r="B4" s="118">
        <f>DATOS!B193</f>
        <v>0</v>
      </c>
      <c r="C4" s="79"/>
      <c r="D4" s="697" t="s">
        <v>2625</v>
      </c>
      <c r="E4" s="698"/>
      <c r="F4" s="699"/>
      <c r="G4" s="706">
        <f>IF(B4=0,0,B5/(100%-(B6/B4)))</f>
        <v>0</v>
      </c>
      <c r="H4" s="707"/>
      <c r="I4" s="712" t="s">
        <v>2626</v>
      </c>
      <c r="J4" s="713"/>
      <c r="K4" s="714"/>
      <c r="L4" s="79"/>
      <c r="M4" s="79"/>
      <c r="N4" s="79"/>
    </row>
    <row r="5" spans="1:14" ht="15" thickBot="1">
      <c r="A5" s="120" t="str">
        <f>DATOS!A195</f>
        <v>Costos y Gastos fijos mensuales por otras actividades económicas</v>
      </c>
      <c r="B5" s="118">
        <f>DATOS!B195</f>
        <v>0</v>
      </c>
      <c r="C5" s="79"/>
      <c r="D5" s="700"/>
      <c r="E5" s="701"/>
      <c r="F5" s="702"/>
      <c r="G5" s="708"/>
      <c r="H5" s="709"/>
      <c r="I5" s="715"/>
      <c r="J5" s="716"/>
      <c r="K5" s="717"/>
      <c r="L5" s="79"/>
      <c r="M5" s="79"/>
      <c r="N5" s="79"/>
    </row>
    <row r="6" spans="1:14" ht="15" thickBot="1">
      <c r="A6" s="120" t="str">
        <f>DATOS!A197</f>
        <v>Costos y Gastos variables por otras actividades económicas</v>
      </c>
      <c r="B6" s="118">
        <f>DATOS!B197</f>
        <v>0</v>
      </c>
      <c r="C6" s="79"/>
      <c r="D6" s="703"/>
      <c r="E6" s="704"/>
      <c r="F6" s="705"/>
      <c r="G6" s="710"/>
      <c r="H6" s="711"/>
      <c r="I6" s="718"/>
      <c r="J6" s="719"/>
      <c r="K6" s="720"/>
      <c r="L6" s="79"/>
      <c r="M6" s="79"/>
      <c r="N6" s="79"/>
    </row>
    <row r="7" spans="1:14" ht="15" thickBot="1">
      <c r="A7" s="79"/>
      <c r="B7" s="79"/>
      <c r="C7" s="79"/>
      <c r="D7" s="79"/>
      <c r="E7" s="79"/>
      <c r="F7" s="79"/>
      <c r="G7" s="79"/>
      <c r="H7" s="79"/>
      <c r="I7" s="79"/>
      <c r="J7" s="79"/>
      <c r="K7" s="79"/>
      <c r="L7" s="79"/>
      <c r="M7" s="79"/>
      <c r="N7" s="79"/>
    </row>
    <row r="8" spans="1:14" ht="15" thickBot="1">
      <c r="A8" s="114" t="s">
        <v>2627</v>
      </c>
      <c r="B8" s="115" t="s">
        <v>2265</v>
      </c>
      <c r="C8" s="115" t="s">
        <v>2266</v>
      </c>
      <c r="D8" s="115" t="s">
        <v>2267</v>
      </c>
      <c r="E8" s="115" t="s">
        <v>2268</v>
      </c>
      <c r="F8" s="115" t="s">
        <v>2269</v>
      </c>
      <c r="G8" s="115" t="s">
        <v>2270</v>
      </c>
      <c r="H8" s="115" t="s">
        <v>2271</v>
      </c>
      <c r="I8" s="115" t="s">
        <v>2272</v>
      </c>
      <c r="J8" s="115" t="s">
        <v>2273</v>
      </c>
      <c r="K8" s="116" t="s">
        <v>2274</v>
      </c>
      <c r="L8" s="79"/>
      <c r="M8" s="79"/>
      <c r="N8" s="79"/>
    </row>
    <row r="9" spans="1:14" ht="15" thickBot="1">
      <c r="A9" s="117" t="str">
        <f>A4</f>
        <v>Ingresos mensuales por otras actividades económicas</v>
      </c>
      <c r="B9" s="118">
        <f>B4*12</f>
        <v>0</v>
      </c>
      <c r="C9" s="119">
        <f>B9*(1+'PROYECCIONES MACROECONÓMICAS'!$B$7)</f>
        <v>0</v>
      </c>
      <c r="D9" s="119">
        <f>C9*(1+'PROYECCIONES MACROECONÓMICAS'!$B$7)</f>
        <v>0</v>
      </c>
      <c r="E9" s="119">
        <f>D9*(1+'PROYECCIONES MACROECONÓMICAS'!$B$7)</f>
        <v>0</v>
      </c>
      <c r="F9" s="119">
        <f>E9*(1+'PROYECCIONES MACROECONÓMICAS'!$B$7)</f>
        <v>0</v>
      </c>
      <c r="G9" s="119">
        <f>F9*(1+'PROYECCIONES MACROECONÓMICAS'!$B$7)</f>
        <v>0</v>
      </c>
      <c r="H9" s="119">
        <f>G9*(1+'PROYECCIONES MACROECONÓMICAS'!$B$7)</f>
        <v>0</v>
      </c>
      <c r="I9" s="119">
        <f>H9*(1+'PROYECCIONES MACROECONÓMICAS'!$B$7)</f>
        <v>0</v>
      </c>
      <c r="J9" s="119">
        <f>I9*(1+'PROYECCIONES MACROECONÓMICAS'!$B$7)</f>
        <v>0</v>
      </c>
      <c r="K9" s="118">
        <f>J9*(1+'PROYECCIONES MACROECONÓMICAS'!$B$7)</f>
        <v>0</v>
      </c>
      <c r="L9" s="79"/>
      <c r="M9" s="79"/>
      <c r="N9" s="79"/>
    </row>
    <row r="10" spans="1:14" ht="15" thickBot="1">
      <c r="A10" s="120" t="str">
        <f>A5</f>
        <v>Costos y Gastos fijos mensuales por otras actividades económicas</v>
      </c>
      <c r="B10" s="118">
        <f>B5*12</f>
        <v>0</v>
      </c>
      <c r="C10" s="119">
        <f>B10*(1+'PROYECCIONES MACROECONÓMICAS'!$B$7)</f>
        <v>0</v>
      </c>
      <c r="D10" s="119">
        <f>C10*(1+'PROYECCIONES MACROECONÓMICAS'!$B$7)</f>
        <v>0</v>
      </c>
      <c r="E10" s="119">
        <f>D10*(1+'PROYECCIONES MACROECONÓMICAS'!$B$7)</f>
        <v>0</v>
      </c>
      <c r="F10" s="119">
        <f>E10*(1+'PROYECCIONES MACROECONÓMICAS'!$B$7)</f>
        <v>0</v>
      </c>
      <c r="G10" s="119">
        <f>F10*(1+'PROYECCIONES MACROECONÓMICAS'!$B$7)</f>
        <v>0</v>
      </c>
      <c r="H10" s="119">
        <f>G10*(1+'PROYECCIONES MACROECONÓMICAS'!$B$7)</f>
        <v>0</v>
      </c>
      <c r="I10" s="119">
        <f>H10*(1+'PROYECCIONES MACROECONÓMICAS'!$B$7)</f>
        <v>0</v>
      </c>
      <c r="J10" s="119">
        <f>I10*(1+'PROYECCIONES MACROECONÓMICAS'!$B$7)</f>
        <v>0</v>
      </c>
      <c r="K10" s="118">
        <f>J10*(1+'PROYECCIONES MACROECONÓMICAS'!$B$7)</f>
        <v>0</v>
      </c>
      <c r="L10" s="79"/>
      <c r="M10" s="79"/>
      <c r="N10" s="79"/>
    </row>
    <row r="11" spans="1:14" ht="15" thickBot="1">
      <c r="A11" s="120" t="str">
        <f>A6</f>
        <v>Costos y Gastos variables por otras actividades económicas</v>
      </c>
      <c r="B11" s="118">
        <f>B6*12</f>
        <v>0</v>
      </c>
      <c r="C11" s="119">
        <f>B11*(1+'PROYECCIONES MACROECONÓMICAS'!$B$7)</f>
        <v>0</v>
      </c>
      <c r="D11" s="119">
        <f>C11*(1+'PROYECCIONES MACROECONÓMICAS'!$B$7)</f>
        <v>0</v>
      </c>
      <c r="E11" s="119">
        <f>D11*(1+'PROYECCIONES MACROECONÓMICAS'!$B$7)</f>
        <v>0</v>
      </c>
      <c r="F11" s="119">
        <f>E11*(1+'PROYECCIONES MACROECONÓMICAS'!$B$7)</f>
        <v>0</v>
      </c>
      <c r="G11" s="119">
        <f>F11*(1+'PROYECCIONES MACROECONÓMICAS'!$B$7)</f>
        <v>0</v>
      </c>
      <c r="H11" s="119">
        <f>G11*(1+'PROYECCIONES MACROECONÓMICAS'!$B$7)</f>
        <v>0</v>
      </c>
      <c r="I11" s="119">
        <f>H11*(1+'PROYECCIONES MACROECONÓMICAS'!$B$7)</f>
        <v>0</v>
      </c>
      <c r="J11" s="119">
        <f>I11*(1+'PROYECCIONES MACROECONÓMICAS'!$B$7)</f>
        <v>0</v>
      </c>
      <c r="K11" s="118">
        <f>J11*(1+'PROYECCIONES MACROECONÓMICAS'!$B$7)</f>
        <v>0</v>
      </c>
      <c r="L11" s="79"/>
      <c r="M11" s="79"/>
      <c r="N11" s="79"/>
    </row>
    <row r="12" spans="1:14" ht="15" thickBot="1">
      <c r="A12" s="120" t="s">
        <v>2628</v>
      </c>
      <c r="B12" s="118">
        <f>B9-B10-B11</f>
        <v>0</v>
      </c>
      <c r="C12" s="118">
        <f t="shared" ref="C12:K12" si="0">C9-C10-C11</f>
        <v>0</v>
      </c>
      <c r="D12" s="118">
        <f t="shared" si="0"/>
        <v>0</v>
      </c>
      <c r="E12" s="118">
        <f t="shared" si="0"/>
        <v>0</v>
      </c>
      <c r="F12" s="118">
        <f t="shared" si="0"/>
        <v>0</v>
      </c>
      <c r="G12" s="118">
        <f t="shared" si="0"/>
        <v>0</v>
      </c>
      <c r="H12" s="118">
        <f t="shared" si="0"/>
        <v>0</v>
      </c>
      <c r="I12" s="118">
        <f t="shared" si="0"/>
        <v>0</v>
      </c>
      <c r="J12" s="118">
        <f t="shared" si="0"/>
        <v>0</v>
      </c>
      <c r="K12" s="118">
        <f t="shared" si="0"/>
        <v>0</v>
      </c>
      <c r="L12" s="79"/>
      <c r="M12" s="79"/>
      <c r="N12" s="79"/>
    </row>
    <row r="13" spans="1:14" ht="15" thickBot="1">
      <c r="A13" s="79"/>
      <c r="B13" s="257"/>
      <c r="C13" s="257"/>
      <c r="D13" s="257"/>
      <c r="E13" s="257"/>
      <c r="F13" s="257"/>
      <c r="G13" s="257"/>
      <c r="H13" s="257"/>
      <c r="I13" s="257"/>
      <c r="J13" s="257"/>
      <c r="K13" s="257"/>
      <c r="L13" s="79"/>
      <c r="M13" s="79"/>
      <c r="N13" s="79"/>
    </row>
    <row r="14" spans="1:14" ht="14.5" customHeight="1">
      <c r="A14" s="79"/>
      <c r="B14" s="79"/>
      <c r="C14" s="79"/>
      <c r="D14" s="79"/>
      <c r="E14" s="79"/>
      <c r="F14" s="79"/>
      <c r="G14" s="79"/>
      <c r="H14" s="518" t="s">
        <v>2629</v>
      </c>
      <c r="I14" s="519"/>
      <c r="J14" s="519"/>
      <c r="K14" s="520"/>
      <c r="L14" s="121"/>
      <c r="M14" s="79"/>
      <c r="N14" s="79"/>
    </row>
    <row r="15" spans="1:14" ht="14.5" customHeight="1">
      <c r="A15" s="79"/>
      <c r="B15" s="79"/>
      <c r="C15" s="79"/>
      <c r="D15" s="79"/>
      <c r="E15" s="79"/>
      <c r="F15" s="79"/>
      <c r="G15" s="79"/>
      <c r="H15" s="521"/>
      <c r="I15" s="522"/>
      <c r="J15" s="522"/>
      <c r="K15" s="523"/>
      <c r="L15" s="121"/>
      <c r="M15" s="79"/>
      <c r="N15" s="79"/>
    </row>
    <row r="16" spans="1:14" ht="14.5" customHeight="1">
      <c r="A16" s="79"/>
      <c r="B16" s="79"/>
      <c r="C16" s="79"/>
      <c r="D16" s="79"/>
      <c r="E16" s="79"/>
      <c r="F16" s="79"/>
      <c r="G16" s="79"/>
      <c r="H16" s="521"/>
      <c r="I16" s="522"/>
      <c r="J16" s="522"/>
      <c r="K16" s="523"/>
      <c r="L16" s="121"/>
      <c r="M16" s="79"/>
      <c r="N16" s="79"/>
    </row>
    <row r="17" spans="1:14" ht="14.5" customHeight="1">
      <c r="A17" s="79"/>
      <c r="B17" s="79"/>
      <c r="C17" s="79"/>
      <c r="D17" s="79"/>
      <c r="E17" s="79"/>
      <c r="F17" s="79"/>
      <c r="G17" s="79"/>
      <c r="H17" s="521"/>
      <c r="I17" s="522"/>
      <c r="J17" s="522"/>
      <c r="K17" s="523"/>
      <c r="L17" s="121"/>
      <c r="M17" s="79"/>
      <c r="N17" s="79"/>
    </row>
    <row r="18" spans="1:14" ht="14.5" customHeight="1">
      <c r="A18" s="79"/>
      <c r="B18" s="79"/>
      <c r="C18" s="79"/>
      <c r="D18" s="79"/>
      <c r="E18" s="79"/>
      <c r="F18" s="79"/>
      <c r="G18" s="79"/>
      <c r="H18" s="521"/>
      <c r="I18" s="522"/>
      <c r="J18" s="522"/>
      <c r="K18" s="523"/>
      <c r="L18" s="121"/>
      <c r="M18" s="79"/>
      <c r="N18" s="79"/>
    </row>
    <row r="19" spans="1:14" ht="14.5" customHeight="1">
      <c r="A19" s="79"/>
      <c r="B19" s="79"/>
      <c r="C19" s="79"/>
      <c r="D19" s="79"/>
      <c r="E19" s="79"/>
      <c r="F19" s="79"/>
      <c r="G19" s="79"/>
      <c r="H19" s="521"/>
      <c r="I19" s="522"/>
      <c r="J19" s="522"/>
      <c r="K19" s="523"/>
      <c r="L19" s="121"/>
      <c r="M19" s="79"/>
      <c r="N19" s="79"/>
    </row>
    <row r="20" spans="1:14" ht="14.5" customHeight="1">
      <c r="A20" s="79"/>
      <c r="B20" s="79"/>
      <c r="C20" s="79"/>
      <c r="D20" s="79"/>
      <c r="E20" s="79"/>
      <c r="F20" s="79"/>
      <c r="G20" s="79"/>
      <c r="H20" s="521"/>
      <c r="I20" s="522"/>
      <c r="J20" s="522"/>
      <c r="K20" s="523"/>
      <c r="L20" s="121"/>
      <c r="M20" s="79"/>
      <c r="N20" s="79"/>
    </row>
    <row r="21" spans="1:14" ht="14.5" customHeight="1">
      <c r="A21" s="79"/>
      <c r="B21" s="79"/>
      <c r="C21" s="79"/>
      <c r="D21" s="79"/>
      <c r="E21" s="79"/>
      <c r="F21" s="79"/>
      <c r="G21" s="79"/>
      <c r="H21" s="521"/>
      <c r="I21" s="522"/>
      <c r="J21" s="522"/>
      <c r="K21" s="523"/>
      <c r="L21" s="121"/>
      <c r="M21" s="79"/>
      <c r="N21" s="79"/>
    </row>
    <row r="22" spans="1:14" ht="14.5" customHeight="1">
      <c r="A22" s="79"/>
      <c r="B22" s="79"/>
      <c r="C22" s="79"/>
      <c r="D22" s="79"/>
      <c r="E22" s="79"/>
      <c r="F22" s="79"/>
      <c r="G22" s="79"/>
      <c r="H22" s="521"/>
      <c r="I22" s="522"/>
      <c r="J22" s="522"/>
      <c r="K22" s="523"/>
      <c r="L22" s="121"/>
      <c r="M22" s="79"/>
      <c r="N22" s="79"/>
    </row>
    <row r="23" spans="1:14" ht="14.5" customHeight="1">
      <c r="A23" s="79"/>
      <c r="B23" s="79"/>
      <c r="C23" s="79"/>
      <c r="D23" s="79"/>
      <c r="E23" s="79"/>
      <c r="F23" s="79"/>
      <c r="G23" s="79"/>
      <c r="H23" s="521"/>
      <c r="I23" s="522"/>
      <c r="J23" s="522"/>
      <c r="K23" s="523"/>
      <c r="L23" s="121"/>
      <c r="M23" s="79"/>
      <c r="N23" s="79"/>
    </row>
    <row r="24" spans="1:14" ht="14.5" customHeight="1">
      <c r="A24" s="79"/>
      <c r="B24" s="79"/>
      <c r="C24" s="79"/>
      <c r="D24" s="79"/>
      <c r="E24" s="79"/>
      <c r="F24" s="79"/>
      <c r="G24" s="79"/>
      <c r="H24" s="521"/>
      <c r="I24" s="522"/>
      <c r="J24" s="522"/>
      <c r="K24" s="523"/>
      <c r="L24" s="121"/>
      <c r="M24" s="79"/>
      <c r="N24" s="79"/>
    </row>
    <row r="25" spans="1:14" ht="14.5" customHeight="1">
      <c r="A25" s="79"/>
      <c r="B25" s="79"/>
      <c r="C25" s="79"/>
      <c r="D25" s="79"/>
      <c r="E25" s="79"/>
      <c r="F25" s="79"/>
      <c r="G25" s="79"/>
      <c r="H25" s="521"/>
      <c r="I25" s="522"/>
      <c r="J25" s="522"/>
      <c r="K25" s="523"/>
      <c r="L25" s="121"/>
      <c r="M25" s="79"/>
      <c r="N25" s="79"/>
    </row>
    <row r="26" spans="1:14" ht="14.5" customHeight="1">
      <c r="A26" s="79"/>
      <c r="B26" s="79"/>
      <c r="C26" s="79"/>
      <c r="D26" s="79"/>
      <c r="E26" s="79"/>
      <c r="F26" s="79"/>
      <c r="G26" s="79"/>
      <c r="H26" s="521"/>
      <c r="I26" s="522"/>
      <c r="J26" s="522"/>
      <c r="K26" s="523"/>
      <c r="L26" s="121"/>
      <c r="M26" s="79"/>
      <c r="N26" s="79"/>
    </row>
    <row r="27" spans="1:14" ht="15" customHeight="1" thickBot="1">
      <c r="A27" s="79"/>
      <c r="B27" s="79"/>
      <c r="C27" s="79"/>
      <c r="D27" s="79"/>
      <c r="E27" s="79"/>
      <c r="F27" s="79"/>
      <c r="G27" s="79"/>
      <c r="H27" s="721"/>
      <c r="I27" s="722"/>
      <c r="J27" s="722"/>
      <c r="K27" s="723"/>
      <c r="L27" s="121"/>
      <c r="M27" s="79"/>
      <c r="N27" s="79"/>
    </row>
    <row r="28" spans="1:14">
      <c r="A28" s="79"/>
      <c r="B28" s="79"/>
      <c r="C28" s="79"/>
      <c r="D28" s="79"/>
      <c r="E28" s="79"/>
      <c r="F28" s="79"/>
      <c r="G28" s="79"/>
      <c r="H28" s="79"/>
      <c r="I28" s="79"/>
      <c r="J28" s="79"/>
      <c r="K28" s="79"/>
      <c r="L28" s="79"/>
      <c r="M28" s="79"/>
      <c r="N28" s="79"/>
    </row>
    <row r="29" spans="1:14">
      <c r="A29" s="79"/>
      <c r="B29" s="79"/>
      <c r="C29" s="79"/>
      <c r="D29" s="79"/>
      <c r="E29" s="79"/>
      <c r="F29" s="79"/>
      <c r="G29" s="79"/>
      <c r="H29" s="79"/>
      <c r="I29" s="79"/>
      <c r="J29" s="79"/>
      <c r="K29" s="79"/>
      <c r="L29" s="79"/>
      <c r="M29" s="79"/>
      <c r="N29" s="79"/>
    </row>
    <row r="30" spans="1:14">
      <c r="A30" s="79"/>
      <c r="B30" s="79"/>
      <c r="C30" s="79"/>
      <c r="D30" s="79"/>
      <c r="E30" s="79"/>
      <c r="F30" s="79"/>
      <c r="G30" s="79"/>
      <c r="H30" s="79"/>
      <c r="I30" s="79"/>
      <c r="J30" s="79"/>
      <c r="K30" s="79"/>
      <c r="L30" s="79"/>
      <c r="M30" s="79"/>
      <c r="N30" s="79"/>
    </row>
    <row r="31" spans="1:14">
      <c r="A31" s="79"/>
      <c r="B31" s="79"/>
      <c r="C31" s="79"/>
      <c r="D31" s="79"/>
      <c r="E31" s="79"/>
      <c r="F31" s="79"/>
      <c r="G31" s="79"/>
      <c r="H31" s="79"/>
      <c r="I31" s="79"/>
      <c r="J31" s="79"/>
      <c r="K31" s="79"/>
      <c r="L31" s="79"/>
      <c r="M31" s="79"/>
      <c r="N31" s="79"/>
    </row>
    <row r="32" spans="1:14">
      <c r="A32" s="79"/>
      <c r="B32" s="79"/>
      <c r="C32" s="79"/>
      <c r="D32" s="79"/>
      <c r="E32" s="79"/>
      <c r="F32" s="79"/>
      <c r="G32" s="79"/>
      <c r="H32" s="79"/>
      <c r="I32" s="79"/>
      <c r="J32" s="79"/>
      <c r="K32" s="79"/>
      <c r="L32" s="79"/>
      <c r="M32" s="79"/>
      <c r="N32" s="79"/>
    </row>
  </sheetData>
  <mergeCells count="5">
    <mergeCell ref="A1:L2"/>
    <mergeCell ref="D4:F6"/>
    <mergeCell ref="G4:H6"/>
    <mergeCell ref="I4:K6"/>
    <mergeCell ref="H14:K27"/>
  </mergeCells>
  <phoneticPr fontId="1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C4CE-8DDB-4C32-A25B-21C09680BDC0}">
  <dimension ref="A1:Y54"/>
  <sheetViews>
    <sheetView showGridLines="0" showRowColHeaders="0" tabSelected="1" zoomScale="85" zoomScaleNormal="85" zoomScaleSheetLayoutView="70" workbookViewId="0"/>
  </sheetViews>
  <sheetFormatPr baseColWidth="10" defaultColWidth="11.453125" defaultRowHeight="14.5"/>
  <sheetData>
    <row r="1" spans="1:24">
      <c r="A1" s="395"/>
      <c r="B1" s="395"/>
      <c r="C1" s="395"/>
      <c r="D1" s="395"/>
      <c r="E1" s="395"/>
      <c r="F1" s="395"/>
      <c r="G1" s="395"/>
      <c r="H1" s="395"/>
      <c r="I1" s="395"/>
      <c r="J1" s="395"/>
      <c r="K1" s="395"/>
      <c r="L1" s="395"/>
      <c r="M1" s="395"/>
      <c r="N1" s="395"/>
      <c r="O1" s="395"/>
      <c r="P1" s="395"/>
      <c r="Q1" s="395"/>
      <c r="R1" s="395"/>
      <c r="S1" s="395"/>
      <c r="T1" s="395"/>
      <c r="U1" s="395"/>
      <c r="V1" s="395"/>
      <c r="W1" s="395"/>
      <c r="X1" s="395"/>
    </row>
    <row r="2" spans="1:24">
      <c r="A2" s="725"/>
      <c r="B2" s="395"/>
      <c r="C2" s="395"/>
      <c r="D2" s="395"/>
      <c r="E2" s="395"/>
      <c r="F2" s="395"/>
      <c r="G2" s="395"/>
      <c r="H2" s="395"/>
      <c r="I2" s="395"/>
      <c r="J2" s="395"/>
      <c r="K2" s="395"/>
      <c r="L2" s="395"/>
      <c r="M2" s="395"/>
      <c r="N2" s="395"/>
      <c r="O2" s="395"/>
      <c r="P2" s="395"/>
      <c r="Q2" s="395"/>
      <c r="R2" s="395"/>
      <c r="S2" s="395"/>
      <c r="T2" s="395"/>
      <c r="U2" s="395"/>
      <c r="V2" s="395"/>
      <c r="W2" s="395"/>
      <c r="X2" s="395"/>
    </row>
    <row r="3" spans="1:24">
      <c r="A3" s="726"/>
      <c r="B3" s="395"/>
      <c r="C3" s="395"/>
      <c r="D3" s="395"/>
      <c r="E3" s="395"/>
      <c r="F3" s="395"/>
      <c r="G3" s="395"/>
      <c r="H3" s="395"/>
      <c r="I3" s="395"/>
      <c r="J3" s="395"/>
      <c r="K3" s="395"/>
      <c r="L3" s="395"/>
      <c r="M3" s="395"/>
      <c r="N3" s="395"/>
      <c r="O3" s="395"/>
      <c r="P3" s="395"/>
      <c r="Q3" s="395"/>
      <c r="R3" s="395"/>
      <c r="S3" s="395"/>
      <c r="T3" s="395"/>
      <c r="U3" s="395"/>
      <c r="V3" s="395"/>
      <c r="W3" s="395"/>
      <c r="X3" s="395"/>
    </row>
    <row r="4" spans="1:24">
      <c r="A4" s="726"/>
      <c r="B4" s="395"/>
      <c r="C4" s="395"/>
      <c r="D4" s="395"/>
      <c r="E4" s="395"/>
      <c r="F4" s="395"/>
      <c r="G4" s="395"/>
      <c r="H4" s="395"/>
      <c r="I4" s="395"/>
      <c r="J4" s="395"/>
      <c r="K4" s="395"/>
      <c r="L4" s="395"/>
      <c r="M4" s="395"/>
      <c r="N4" s="395"/>
      <c r="O4" s="395"/>
      <c r="P4" s="395"/>
      <c r="Q4" s="395"/>
      <c r="R4" s="395"/>
      <c r="S4" s="395"/>
      <c r="T4" s="395"/>
      <c r="U4" s="395"/>
      <c r="V4" s="395"/>
      <c r="W4" s="395"/>
      <c r="X4" s="395"/>
    </row>
    <row r="5" spans="1:24">
      <c r="A5" s="726"/>
      <c r="B5" s="395"/>
      <c r="C5" s="395"/>
      <c r="D5" s="395"/>
      <c r="E5" s="395"/>
      <c r="F5" s="395"/>
      <c r="G5" s="395"/>
      <c r="H5" s="395"/>
      <c r="I5" s="395"/>
      <c r="J5" s="395"/>
      <c r="K5" s="395"/>
      <c r="L5" s="395"/>
      <c r="M5" s="395"/>
      <c r="N5" s="395"/>
      <c r="O5" s="395"/>
      <c r="P5" s="395"/>
      <c r="Q5" s="395"/>
      <c r="R5" s="395"/>
      <c r="S5" s="395"/>
      <c r="T5" s="395"/>
      <c r="U5" s="395"/>
      <c r="V5" s="395"/>
      <c r="W5" s="395"/>
      <c r="X5" s="395"/>
    </row>
    <row r="6" spans="1:24">
      <c r="A6" s="726"/>
      <c r="B6" s="395"/>
      <c r="C6" s="395"/>
      <c r="D6" s="395"/>
      <c r="E6" s="395"/>
      <c r="F6" s="395"/>
      <c r="G6" s="395"/>
      <c r="H6" s="395"/>
      <c r="I6" s="395"/>
      <c r="J6" s="395"/>
      <c r="K6" s="395"/>
      <c r="L6" s="395"/>
      <c r="M6" s="395"/>
      <c r="N6" s="395"/>
      <c r="O6" s="395"/>
      <c r="P6" s="395"/>
      <c r="Q6" s="395"/>
      <c r="R6" s="395"/>
      <c r="S6" s="395"/>
      <c r="T6" s="395"/>
      <c r="U6" s="395"/>
      <c r="V6" s="395"/>
      <c r="W6" s="395"/>
      <c r="X6" s="395"/>
    </row>
    <row r="7" spans="1:24">
      <c r="A7" s="726"/>
      <c r="B7" s="395"/>
      <c r="C7" s="395"/>
      <c r="D7" s="395"/>
      <c r="E7" s="395"/>
      <c r="F7" s="395"/>
      <c r="G7" s="395"/>
      <c r="H7" s="395"/>
      <c r="I7" s="395"/>
      <c r="J7" s="395"/>
      <c r="K7" s="395"/>
      <c r="L7" s="395"/>
      <c r="M7" s="395"/>
      <c r="N7" s="395"/>
      <c r="O7" s="395"/>
      <c r="P7" s="395"/>
      <c r="Q7" s="395"/>
      <c r="R7" s="395"/>
      <c r="S7" s="395"/>
      <c r="T7" s="395"/>
      <c r="U7" s="395"/>
      <c r="V7" s="395"/>
      <c r="W7" s="395"/>
      <c r="X7" s="395"/>
    </row>
    <row r="8" spans="1:24">
      <c r="A8" s="726"/>
      <c r="B8" s="395"/>
      <c r="C8" s="395"/>
      <c r="D8" s="395"/>
      <c r="E8" s="395"/>
      <c r="F8" s="395"/>
      <c r="G8" s="395"/>
      <c r="H8" s="395"/>
      <c r="I8" s="395"/>
      <c r="J8" s="395"/>
      <c r="K8" s="395"/>
      <c r="L8" s="395"/>
      <c r="M8" s="395"/>
      <c r="N8" s="395"/>
      <c r="O8" s="395"/>
      <c r="P8" s="395"/>
      <c r="Q8" s="395"/>
      <c r="R8" s="395"/>
      <c r="S8" s="395"/>
      <c r="T8" s="395"/>
      <c r="U8" s="395"/>
      <c r="V8" s="395"/>
      <c r="W8" s="395"/>
      <c r="X8" s="395"/>
    </row>
    <row r="9" spans="1:24">
      <c r="A9" s="726"/>
      <c r="B9" s="395"/>
      <c r="C9" s="395"/>
      <c r="D9" s="395"/>
      <c r="E9" s="395"/>
      <c r="F9" s="395"/>
      <c r="G9" s="395"/>
      <c r="H9" s="395"/>
      <c r="I9" s="395"/>
      <c r="J9" s="395"/>
      <c r="K9" s="395"/>
      <c r="L9" s="395"/>
      <c r="M9" s="395"/>
      <c r="N9" s="395"/>
      <c r="O9" s="395"/>
      <c r="P9" s="395"/>
      <c r="Q9" s="395"/>
      <c r="R9" s="395"/>
      <c r="S9" s="395"/>
      <c r="T9" s="395"/>
      <c r="U9" s="395"/>
      <c r="V9" s="395"/>
      <c r="W9" s="395"/>
      <c r="X9" s="395"/>
    </row>
    <row r="10" spans="1:24">
      <c r="A10" s="726"/>
      <c r="B10" s="395"/>
      <c r="C10" s="395"/>
      <c r="D10" s="395"/>
      <c r="E10" s="395"/>
      <c r="F10" s="395"/>
      <c r="G10" s="395"/>
      <c r="H10" s="395"/>
      <c r="I10" s="395"/>
      <c r="J10" s="395"/>
      <c r="K10" s="395"/>
      <c r="L10" s="395"/>
      <c r="M10" s="395"/>
      <c r="N10" s="395"/>
      <c r="O10" s="395"/>
      <c r="P10" s="395"/>
      <c r="Q10" s="395"/>
      <c r="R10" s="395"/>
      <c r="S10" s="395"/>
      <c r="T10" s="395"/>
      <c r="U10" s="395"/>
      <c r="V10" s="395"/>
      <c r="W10" s="395"/>
      <c r="X10" s="395"/>
    </row>
    <row r="11" spans="1:24">
      <c r="A11" s="726"/>
      <c r="B11" s="395"/>
      <c r="C11" s="395"/>
      <c r="D11" s="395"/>
      <c r="E11" s="395"/>
      <c r="F11" s="395"/>
      <c r="G11" s="395"/>
      <c r="H11" s="395"/>
      <c r="I11" s="395"/>
      <c r="J11" s="395"/>
      <c r="K11" s="395"/>
      <c r="L11" s="395"/>
      <c r="M11" s="395"/>
      <c r="N11" s="395"/>
      <c r="O11" s="395"/>
      <c r="P11" s="395"/>
      <c r="Q11" s="395"/>
      <c r="R11" s="395"/>
      <c r="S11" s="395"/>
      <c r="T11" s="395"/>
      <c r="U11" s="395"/>
      <c r="V11" s="395"/>
      <c r="W11" s="395"/>
      <c r="X11" s="395"/>
    </row>
    <row r="12" spans="1:24">
      <c r="A12" s="726"/>
      <c r="B12" s="395"/>
      <c r="C12" s="395"/>
      <c r="D12" s="395"/>
      <c r="E12" s="395"/>
      <c r="F12" s="395"/>
      <c r="G12" s="395"/>
      <c r="H12" s="395"/>
      <c r="I12" s="395"/>
      <c r="J12" s="395"/>
      <c r="K12" s="395"/>
      <c r="L12" s="395"/>
      <c r="M12" s="395"/>
      <c r="N12" s="395"/>
      <c r="O12" s="395"/>
      <c r="P12" s="395"/>
      <c r="Q12" s="395"/>
      <c r="R12" s="395"/>
      <c r="S12" s="395"/>
      <c r="T12" s="395"/>
      <c r="U12" s="395"/>
      <c r="V12" s="395"/>
      <c r="W12" s="395"/>
      <c r="X12" s="395"/>
    </row>
    <row r="13" spans="1:24">
      <c r="A13" s="726"/>
      <c r="B13" s="395"/>
      <c r="C13" s="395"/>
      <c r="D13" s="395"/>
      <c r="E13" s="395"/>
      <c r="F13" s="395"/>
      <c r="G13" s="395"/>
      <c r="H13" s="395"/>
      <c r="I13" s="395"/>
      <c r="J13" s="395"/>
      <c r="K13" s="395"/>
      <c r="L13" s="395"/>
      <c r="M13" s="395"/>
      <c r="N13" s="395"/>
      <c r="O13" s="395"/>
      <c r="P13" s="395"/>
      <c r="Q13" s="395"/>
      <c r="R13" s="395"/>
      <c r="S13" s="395"/>
      <c r="T13" s="395"/>
      <c r="U13" s="395"/>
      <c r="V13" s="395"/>
      <c r="W13" s="395"/>
      <c r="X13" s="395"/>
    </row>
    <row r="14" spans="1:24">
      <c r="A14" s="726"/>
      <c r="B14" s="395"/>
      <c r="C14" s="395"/>
      <c r="D14" s="395"/>
      <c r="E14" s="395"/>
      <c r="F14" s="395"/>
      <c r="G14" s="395"/>
      <c r="H14" s="395"/>
      <c r="I14" s="395"/>
      <c r="J14" s="395"/>
      <c r="K14" s="395"/>
      <c r="L14" s="395"/>
      <c r="M14" s="395"/>
      <c r="N14" s="395"/>
      <c r="O14" s="395"/>
      <c r="P14" s="395"/>
      <c r="Q14" s="395"/>
      <c r="R14" s="395"/>
      <c r="S14" s="395"/>
      <c r="T14" s="395"/>
      <c r="U14" s="395"/>
      <c r="V14" s="395"/>
      <c r="W14" s="395"/>
      <c r="X14" s="395"/>
    </row>
    <row r="15" spans="1:24">
      <c r="A15" s="726"/>
      <c r="B15" s="395"/>
      <c r="C15" s="395"/>
      <c r="D15" s="395"/>
      <c r="E15" s="395"/>
      <c r="F15" s="395"/>
      <c r="G15" s="395"/>
      <c r="H15" s="395"/>
      <c r="I15" s="395"/>
      <c r="J15" s="395"/>
      <c r="K15" s="395"/>
      <c r="L15" s="395"/>
      <c r="M15" s="395"/>
      <c r="N15" s="395"/>
      <c r="O15" s="395"/>
      <c r="P15" s="395"/>
      <c r="Q15" s="395"/>
      <c r="R15" s="395"/>
      <c r="S15" s="395"/>
      <c r="T15" s="395"/>
      <c r="U15" s="395"/>
      <c r="V15" s="395"/>
      <c r="W15" s="395"/>
      <c r="X15" s="395"/>
    </row>
    <row r="16" spans="1:24">
      <c r="A16" s="726"/>
      <c r="B16" s="395"/>
      <c r="C16" s="395"/>
      <c r="D16" s="395"/>
      <c r="E16" s="395"/>
      <c r="F16" s="395"/>
      <c r="G16" s="395"/>
      <c r="H16" s="395"/>
      <c r="I16" s="395"/>
      <c r="J16" s="395"/>
      <c r="K16" s="395"/>
      <c r="L16" s="395"/>
      <c r="M16" s="395"/>
      <c r="N16" s="395"/>
      <c r="O16" s="395"/>
      <c r="P16" s="395"/>
      <c r="Q16" s="395"/>
      <c r="R16" s="395"/>
      <c r="S16" s="395"/>
      <c r="T16" s="395"/>
      <c r="U16" s="395"/>
      <c r="V16" s="395"/>
      <c r="W16" s="395"/>
      <c r="X16" s="395"/>
    </row>
    <row r="17" spans="1:24">
      <c r="A17" s="726"/>
      <c r="B17" s="395"/>
      <c r="C17" s="395"/>
      <c r="D17" s="395"/>
      <c r="E17" s="395"/>
      <c r="F17" s="395"/>
      <c r="G17" s="395"/>
      <c r="H17" s="395"/>
      <c r="I17" s="395"/>
      <c r="J17" s="395"/>
      <c r="K17" s="395"/>
      <c r="L17" s="395"/>
      <c r="M17" s="395"/>
      <c r="N17" s="395"/>
      <c r="O17" s="395"/>
      <c r="P17" s="395"/>
      <c r="Q17" s="395"/>
      <c r="R17" s="395"/>
      <c r="S17" s="395"/>
      <c r="T17" s="395"/>
      <c r="U17" s="395"/>
      <c r="V17" s="395"/>
      <c r="W17" s="395"/>
      <c r="X17" s="395"/>
    </row>
    <row r="18" spans="1:24">
      <c r="A18" s="726"/>
      <c r="B18" s="395"/>
      <c r="C18" s="395"/>
      <c r="D18" s="395"/>
      <c r="E18" s="395"/>
      <c r="F18" s="395"/>
      <c r="G18" s="395"/>
      <c r="H18" s="395"/>
      <c r="I18" s="395"/>
      <c r="J18" s="395"/>
      <c r="K18" s="395"/>
      <c r="L18" s="395"/>
      <c r="M18" s="395"/>
      <c r="N18" s="395"/>
      <c r="O18" s="395"/>
      <c r="P18" s="395"/>
      <c r="Q18" s="395"/>
      <c r="R18" s="395"/>
      <c r="S18" s="395"/>
      <c r="T18" s="395"/>
      <c r="U18" s="395"/>
      <c r="V18" s="395"/>
      <c r="W18" s="395"/>
      <c r="X18" s="395"/>
    </row>
    <row r="19" spans="1:24">
      <c r="A19" s="726"/>
      <c r="B19" s="395"/>
      <c r="C19" s="395"/>
      <c r="D19" s="395"/>
      <c r="E19" s="395"/>
      <c r="F19" s="395"/>
      <c r="G19" s="395"/>
      <c r="H19" s="395"/>
      <c r="I19" s="395"/>
      <c r="J19" s="395"/>
      <c r="K19" s="395"/>
      <c r="L19" s="395"/>
      <c r="M19" s="395"/>
      <c r="N19" s="395"/>
      <c r="O19" s="395"/>
      <c r="P19" s="395"/>
      <c r="Q19" s="395"/>
      <c r="R19" s="395"/>
      <c r="S19" s="395"/>
      <c r="T19" s="395"/>
      <c r="U19" s="395"/>
      <c r="V19" s="395"/>
      <c r="W19" s="395"/>
      <c r="X19" s="395"/>
    </row>
    <row r="20" spans="1:24">
      <c r="A20" s="726"/>
      <c r="B20" s="395"/>
      <c r="C20" s="395"/>
      <c r="D20" s="395"/>
      <c r="E20" s="395"/>
      <c r="F20" s="395"/>
      <c r="G20" s="395"/>
      <c r="H20" s="395"/>
      <c r="I20" s="395"/>
      <c r="J20" s="395"/>
      <c r="K20" s="395"/>
      <c r="L20" s="395"/>
      <c r="M20" s="395"/>
      <c r="N20" s="395"/>
      <c r="O20" s="395"/>
      <c r="P20" s="395"/>
      <c r="Q20" s="395"/>
      <c r="R20" s="395"/>
      <c r="S20" s="395"/>
      <c r="T20" s="395"/>
      <c r="U20" s="395"/>
      <c r="V20" s="395"/>
      <c r="W20" s="395"/>
      <c r="X20" s="395"/>
    </row>
    <row r="21" spans="1:24">
      <c r="A21" s="726"/>
      <c r="B21" s="395"/>
      <c r="C21" s="395"/>
      <c r="D21" s="395"/>
      <c r="E21" s="395"/>
      <c r="F21" s="395"/>
      <c r="G21" s="395"/>
      <c r="H21" s="395"/>
      <c r="I21" s="395"/>
      <c r="J21" s="395"/>
      <c r="K21" s="395"/>
      <c r="L21" s="395"/>
      <c r="M21" s="395"/>
      <c r="N21" s="395"/>
      <c r="O21" s="395"/>
      <c r="P21" s="395"/>
      <c r="Q21" s="395"/>
      <c r="R21" s="395"/>
      <c r="S21" s="395"/>
      <c r="T21" s="395"/>
      <c r="U21" s="395"/>
      <c r="V21" s="395"/>
      <c r="W21" s="395"/>
      <c r="X21" s="395"/>
    </row>
    <row r="22" spans="1:24">
      <c r="A22" s="726"/>
      <c r="B22" s="395"/>
      <c r="C22" s="395"/>
      <c r="D22" s="395"/>
      <c r="E22" s="395"/>
      <c r="F22" s="395"/>
      <c r="G22" s="395"/>
      <c r="H22" s="395"/>
      <c r="I22" s="395"/>
      <c r="J22" s="395"/>
      <c r="K22" s="395"/>
      <c r="L22" s="395"/>
      <c r="M22" s="395"/>
      <c r="N22" s="395"/>
      <c r="O22" s="395"/>
      <c r="P22" s="395"/>
      <c r="Q22" s="395"/>
      <c r="R22" s="395"/>
      <c r="S22" s="395"/>
      <c r="T22" s="395"/>
      <c r="U22" s="395"/>
      <c r="V22" s="395"/>
      <c r="W22" s="395"/>
      <c r="X22" s="395"/>
    </row>
    <row r="23" spans="1:24">
      <c r="A23" s="726"/>
      <c r="B23" s="395"/>
      <c r="C23" s="395"/>
      <c r="D23" s="395"/>
      <c r="E23" s="395"/>
      <c r="F23" s="395"/>
      <c r="G23" s="395"/>
      <c r="H23" s="395"/>
      <c r="I23" s="395"/>
      <c r="J23" s="395"/>
      <c r="K23" s="395"/>
      <c r="L23" s="395"/>
      <c r="M23" s="395"/>
      <c r="N23" s="395"/>
      <c r="O23" s="395"/>
      <c r="P23" s="395"/>
      <c r="Q23" s="395"/>
      <c r="R23" s="395"/>
      <c r="S23" s="395"/>
      <c r="T23" s="395"/>
      <c r="U23" s="395"/>
      <c r="V23" s="395"/>
      <c r="W23" s="395"/>
      <c r="X23" s="395"/>
    </row>
    <row r="24" spans="1:24">
      <c r="A24" s="726"/>
      <c r="B24" s="395"/>
      <c r="C24" s="395"/>
      <c r="D24" s="395"/>
      <c r="E24" s="395"/>
      <c r="F24" s="395"/>
      <c r="G24" s="395"/>
      <c r="H24" s="395"/>
      <c r="I24" s="395"/>
      <c r="J24" s="395"/>
      <c r="K24" s="395"/>
      <c r="L24" s="395"/>
      <c r="M24" s="395"/>
      <c r="N24" s="395"/>
      <c r="O24" s="395"/>
      <c r="P24" s="395"/>
      <c r="Q24" s="395"/>
      <c r="R24" s="395"/>
      <c r="S24" s="395"/>
      <c r="T24" s="395"/>
      <c r="U24" s="395"/>
      <c r="V24" s="395"/>
      <c r="W24" s="395"/>
      <c r="X24" s="395"/>
    </row>
    <row r="25" spans="1:24">
      <c r="A25" s="726"/>
      <c r="B25" s="395"/>
      <c r="C25" s="395"/>
      <c r="D25" s="395"/>
      <c r="E25" s="395"/>
      <c r="F25" s="395"/>
      <c r="G25" s="395"/>
      <c r="H25" s="395"/>
      <c r="I25" s="395"/>
      <c r="J25" s="395"/>
      <c r="K25" s="395"/>
      <c r="L25" s="395"/>
      <c r="M25" s="395"/>
      <c r="N25" s="395"/>
      <c r="O25" s="395"/>
      <c r="P25" s="395"/>
      <c r="Q25" s="395"/>
      <c r="R25" s="395"/>
      <c r="S25" s="395"/>
      <c r="T25" s="395"/>
      <c r="U25" s="395"/>
      <c r="V25" s="395"/>
      <c r="W25" s="395"/>
      <c r="X25" s="395"/>
    </row>
    <row r="26" spans="1:24">
      <c r="A26" s="726"/>
      <c r="B26" s="395"/>
      <c r="C26" s="395"/>
      <c r="D26" s="395"/>
      <c r="E26" s="395"/>
      <c r="F26" s="395"/>
      <c r="G26" s="395"/>
      <c r="H26" s="395"/>
      <c r="I26" s="395"/>
      <c r="J26" s="395"/>
      <c r="K26" s="395"/>
      <c r="L26" s="395"/>
      <c r="M26" s="395"/>
      <c r="N26" s="395"/>
      <c r="O26" s="395"/>
      <c r="P26" s="395"/>
      <c r="Q26" s="395"/>
      <c r="R26" s="395"/>
      <c r="S26" s="395"/>
      <c r="T26" s="395"/>
      <c r="U26" s="395"/>
      <c r="V26" s="395"/>
      <c r="W26" s="395"/>
      <c r="X26" s="395"/>
    </row>
    <row r="27" spans="1:24">
      <c r="A27" s="726"/>
      <c r="B27" s="395"/>
      <c r="C27" s="395"/>
      <c r="D27" s="395"/>
      <c r="E27" s="395"/>
      <c r="F27" s="395"/>
      <c r="G27" s="395"/>
      <c r="H27" s="395"/>
      <c r="I27" s="395"/>
      <c r="J27" s="395"/>
      <c r="K27" s="395"/>
      <c r="L27" s="395"/>
      <c r="M27" s="395"/>
      <c r="N27" s="395"/>
      <c r="O27" s="395"/>
      <c r="P27" s="395"/>
      <c r="Q27" s="395"/>
      <c r="R27" s="395"/>
      <c r="S27" s="395"/>
      <c r="T27" s="395"/>
      <c r="U27" s="395"/>
      <c r="V27" s="395"/>
      <c r="W27" s="395"/>
      <c r="X27" s="395"/>
    </row>
    <row r="28" spans="1:24">
      <c r="A28" s="726"/>
      <c r="B28" s="395"/>
      <c r="C28" s="395"/>
      <c r="D28" s="395"/>
      <c r="E28" s="395"/>
      <c r="F28" s="395"/>
      <c r="G28" s="395"/>
      <c r="H28" s="395"/>
      <c r="I28" s="395"/>
      <c r="J28" s="395"/>
      <c r="K28" s="395"/>
      <c r="L28" s="395"/>
      <c r="M28" s="395"/>
      <c r="N28" s="395"/>
      <c r="O28" s="395"/>
      <c r="P28" s="395"/>
      <c r="Q28" s="395"/>
      <c r="R28" s="395"/>
      <c r="S28" s="395"/>
      <c r="T28" s="395"/>
      <c r="U28" s="395"/>
      <c r="V28" s="395"/>
      <c r="W28" s="395"/>
      <c r="X28" s="395"/>
    </row>
    <row r="29" spans="1:24">
      <c r="A29" s="726"/>
      <c r="B29" s="395"/>
      <c r="C29" s="395"/>
      <c r="D29" s="395"/>
      <c r="E29" s="395"/>
      <c r="F29" s="395"/>
      <c r="G29" s="395"/>
      <c r="H29" s="395"/>
      <c r="I29" s="395"/>
      <c r="J29" s="395"/>
      <c r="K29" s="395"/>
      <c r="L29" s="395"/>
      <c r="M29" s="395"/>
      <c r="N29" s="395"/>
      <c r="O29" s="395"/>
      <c r="P29" s="395"/>
      <c r="Q29" s="395"/>
      <c r="R29" s="395"/>
      <c r="S29" s="395"/>
      <c r="T29" s="395"/>
      <c r="U29" s="395"/>
      <c r="V29" s="395"/>
      <c r="W29" s="395"/>
      <c r="X29" s="395"/>
    </row>
    <row r="30" spans="1:24">
      <c r="A30" s="726"/>
      <c r="B30" s="395"/>
      <c r="C30" s="395"/>
      <c r="D30" s="395"/>
      <c r="E30" s="395"/>
      <c r="F30" s="395"/>
      <c r="G30" s="395"/>
      <c r="H30" s="395"/>
      <c r="I30" s="395"/>
      <c r="J30" s="395"/>
      <c r="K30" s="395"/>
      <c r="L30" s="395"/>
      <c r="M30" s="395"/>
      <c r="N30" s="395"/>
      <c r="O30" s="395"/>
      <c r="P30" s="395"/>
      <c r="Q30" s="395"/>
      <c r="R30" s="395"/>
      <c r="S30" s="395"/>
      <c r="T30" s="395"/>
      <c r="U30" s="395"/>
      <c r="V30" s="395"/>
      <c r="W30" s="395"/>
      <c r="X30" s="395"/>
    </row>
    <row r="31" spans="1:24">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row>
    <row r="32" spans="1:24">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row>
    <row r="33" spans="1:25">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row>
    <row r="34" spans="1:25">
      <c r="A34" s="395"/>
      <c r="B34" s="395"/>
      <c r="C34" s="395"/>
      <c r="D34" s="395"/>
      <c r="E34" s="395"/>
      <c r="F34" s="395"/>
      <c r="G34" s="395"/>
      <c r="H34" s="395"/>
      <c r="I34" s="395"/>
      <c r="J34" s="395"/>
      <c r="K34" s="395"/>
      <c r="L34" s="395"/>
      <c r="M34" s="395"/>
      <c r="N34" s="395"/>
      <c r="O34" s="395"/>
      <c r="P34" s="395"/>
      <c r="Q34" s="395"/>
      <c r="R34" s="395"/>
      <c r="S34" s="395"/>
      <c r="T34" s="395"/>
      <c r="U34" s="395"/>
      <c r="V34" s="395"/>
      <c r="W34" s="395"/>
      <c r="X34" s="395"/>
    </row>
    <row r="35" spans="1:25">
      <c r="A35" s="395"/>
      <c r="B35" s="395"/>
      <c r="C35" s="395"/>
      <c r="D35" s="395"/>
      <c r="E35" s="395"/>
      <c r="F35" s="395"/>
      <c r="G35" s="395"/>
      <c r="H35" s="395"/>
      <c r="I35" s="395"/>
      <c r="J35" s="395"/>
      <c r="K35" s="395"/>
      <c r="L35" s="395"/>
      <c r="M35" s="395"/>
      <c r="N35" s="395"/>
      <c r="O35" s="395"/>
      <c r="P35" s="395"/>
      <c r="Q35" s="395"/>
      <c r="R35" s="395"/>
      <c r="S35" s="395"/>
      <c r="T35" s="395"/>
      <c r="U35" s="395"/>
      <c r="V35" s="395"/>
      <c r="W35" s="395"/>
      <c r="X35" s="395"/>
    </row>
    <row r="36" spans="1:25">
      <c r="A36" s="395"/>
      <c r="B36" s="395"/>
      <c r="C36" s="395"/>
      <c r="D36" s="395"/>
      <c r="E36" s="395"/>
      <c r="F36" s="395"/>
      <c r="G36" s="395"/>
      <c r="H36" s="395"/>
      <c r="I36" s="395"/>
      <c r="J36" s="395"/>
      <c r="K36" s="395"/>
      <c r="L36" s="395"/>
      <c r="M36" s="395"/>
      <c r="N36" s="395"/>
      <c r="O36" s="395"/>
      <c r="P36" s="395"/>
      <c r="Q36" s="395"/>
      <c r="R36" s="395"/>
      <c r="S36" s="395"/>
      <c r="T36" s="395"/>
      <c r="U36" s="395"/>
      <c r="V36" s="395"/>
      <c r="W36" s="395"/>
      <c r="X36" s="395"/>
    </row>
    <row r="37" spans="1:25">
      <c r="A37" s="395"/>
      <c r="B37" s="395"/>
      <c r="C37" s="395"/>
      <c r="D37" s="395"/>
      <c r="E37" s="395"/>
      <c r="F37" s="395"/>
      <c r="G37" s="395"/>
      <c r="H37" s="395"/>
      <c r="I37" s="395"/>
      <c r="J37" s="395"/>
      <c r="K37" s="395"/>
      <c r="L37" s="395"/>
      <c r="M37" s="395"/>
      <c r="N37" s="395"/>
      <c r="O37" s="395"/>
      <c r="P37" s="395"/>
      <c r="Q37" s="395"/>
      <c r="R37" s="395"/>
      <c r="S37" s="395"/>
      <c r="T37" s="395"/>
      <c r="U37" s="395"/>
      <c r="V37" s="395"/>
      <c r="W37" s="395"/>
      <c r="X37" s="395"/>
    </row>
    <row r="38" spans="1:25">
      <c r="A38" s="395"/>
      <c r="B38" s="395"/>
      <c r="C38" s="395"/>
      <c r="D38" s="395"/>
      <c r="E38" s="395"/>
      <c r="F38" s="395"/>
      <c r="G38" s="395"/>
      <c r="H38" s="395"/>
      <c r="I38" s="395"/>
      <c r="J38" s="395"/>
      <c r="K38" s="395"/>
      <c r="L38" s="395"/>
      <c r="M38" s="395"/>
      <c r="N38" s="395"/>
      <c r="O38" s="395"/>
      <c r="P38" s="395"/>
      <c r="Q38" s="395"/>
      <c r="R38" s="395"/>
      <c r="S38" s="395"/>
      <c r="T38" s="395"/>
      <c r="U38" s="395"/>
      <c r="V38" s="395"/>
      <c r="W38" s="395"/>
      <c r="X38" s="395"/>
    </row>
    <row r="39" spans="1:25">
      <c r="A39" s="395"/>
      <c r="B39" s="395"/>
      <c r="C39" s="395"/>
      <c r="D39" s="395"/>
      <c r="E39" s="395"/>
      <c r="F39" s="395"/>
      <c r="G39" s="395"/>
      <c r="H39" s="395"/>
      <c r="I39" s="395"/>
      <c r="J39" s="395"/>
      <c r="K39" s="395"/>
      <c r="L39" s="395"/>
      <c r="M39" s="395"/>
      <c r="N39" s="395"/>
      <c r="O39" s="395"/>
      <c r="P39" s="395"/>
      <c r="Q39" s="395"/>
      <c r="R39" s="395"/>
      <c r="S39" s="395"/>
      <c r="T39" s="395"/>
      <c r="U39" s="395"/>
      <c r="V39" s="395"/>
      <c r="W39" s="395"/>
      <c r="X39" s="395"/>
    </row>
    <row r="40" spans="1:25">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row>
    <row r="41" spans="1:25">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row>
    <row r="42" spans="1:25">
      <c r="A42" s="395"/>
      <c r="B42" s="395"/>
      <c r="C42" s="395"/>
      <c r="D42" s="395"/>
      <c r="E42" s="395"/>
      <c r="F42" s="395"/>
      <c r="G42" s="395"/>
      <c r="H42" s="395"/>
      <c r="I42" s="395"/>
      <c r="J42" s="395"/>
      <c r="K42" s="395"/>
      <c r="L42" s="395"/>
      <c r="M42" s="395"/>
      <c r="N42" s="395"/>
      <c r="O42" s="395"/>
      <c r="P42" s="395"/>
      <c r="Q42" s="395"/>
      <c r="R42" s="395"/>
      <c r="S42" s="395"/>
      <c r="T42" s="395"/>
      <c r="U42" s="395"/>
      <c r="V42" s="395"/>
      <c r="W42" s="395"/>
      <c r="X42" s="395"/>
    </row>
    <row r="43" spans="1:25">
      <c r="V43" s="396"/>
    </row>
    <row r="44" spans="1:25">
      <c r="B44" s="6" t="s">
        <v>4052</v>
      </c>
    </row>
    <row r="46" spans="1:25" ht="44.5" customHeight="1">
      <c r="B46" s="724" t="s">
        <v>4053</v>
      </c>
      <c r="C46" s="724"/>
      <c r="D46" s="724"/>
      <c r="E46" s="724"/>
      <c r="F46" s="724"/>
      <c r="G46" s="724"/>
      <c r="H46" s="724"/>
      <c r="I46" s="724"/>
      <c r="J46" s="724"/>
      <c r="K46" s="724"/>
      <c r="L46" s="724"/>
      <c r="M46" s="724"/>
      <c r="N46" s="724"/>
      <c r="O46" s="724"/>
      <c r="P46" s="724"/>
      <c r="Q46" s="724"/>
      <c r="R46" s="724"/>
      <c r="S46" s="724"/>
      <c r="T46" s="724"/>
      <c r="U46" s="724"/>
      <c r="V46" s="724"/>
      <c r="W46" s="724"/>
      <c r="X46" s="724"/>
      <c r="Y46" s="724"/>
    </row>
    <row r="48" spans="1:25" ht="45" customHeight="1">
      <c r="B48" s="724" t="s">
        <v>4054</v>
      </c>
      <c r="C48" s="724"/>
      <c r="D48" s="724"/>
      <c r="E48" s="724"/>
      <c r="F48" s="724"/>
      <c r="G48" s="724"/>
      <c r="H48" s="724"/>
      <c r="I48" s="724"/>
      <c r="J48" s="724"/>
      <c r="K48" s="724"/>
      <c r="L48" s="724"/>
      <c r="M48" s="724"/>
      <c r="N48" s="724"/>
      <c r="O48" s="724"/>
      <c r="P48" s="724"/>
      <c r="Q48" s="724"/>
      <c r="R48" s="724"/>
      <c r="S48" s="724"/>
      <c r="T48" s="724"/>
      <c r="U48" s="724"/>
      <c r="V48" s="724"/>
      <c r="W48" s="724"/>
      <c r="X48" s="724"/>
      <c r="Y48" s="724"/>
    </row>
    <row r="50" spans="2:25" ht="14.5" customHeight="1">
      <c r="B50" s="724" t="s">
        <v>4055</v>
      </c>
      <c r="C50" s="724"/>
      <c r="D50" s="724"/>
      <c r="E50" s="724"/>
      <c r="F50" s="724"/>
      <c r="G50" s="724"/>
      <c r="H50" s="724"/>
      <c r="I50" s="724"/>
      <c r="J50" s="724"/>
      <c r="K50" s="724"/>
      <c r="L50" s="724"/>
      <c r="M50" s="724"/>
      <c r="N50" s="724"/>
      <c r="O50" s="724"/>
      <c r="P50" s="724"/>
      <c r="Q50" s="724"/>
      <c r="R50" s="724"/>
      <c r="S50" s="724"/>
      <c r="T50" s="724"/>
      <c r="U50" s="724"/>
      <c r="V50" s="724"/>
      <c r="W50" s="724"/>
      <c r="X50" s="724"/>
      <c r="Y50" s="724"/>
    </row>
    <row r="52" spans="2:25" ht="33.5" customHeight="1">
      <c r="B52" s="724" t="s">
        <v>4056</v>
      </c>
      <c r="C52" s="724"/>
      <c r="D52" s="724"/>
      <c r="E52" s="724"/>
      <c r="F52" s="724"/>
      <c r="G52" s="724"/>
      <c r="H52" s="724"/>
      <c r="I52" s="724"/>
      <c r="J52" s="724"/>
      <c r="K52" s="724"/>
      <c r="L52" s="724"/>
      <c r="M52" s="724"/>
      <c r="N52" s="724"/>
      <c r="O52" s="724"/>
      <c r="P52" s="724"/>
      <c r="Q52" s="724"/>
      <c r="R52" s="724"/>
      <c r="S52" s="724"/>
      <c r="T52" s="724"/>
      <c r="U52" s="724"/>
      <c r="V52" s="724"/>
      <c r="W52" s="724"/>
      <c r="X52" s="724"/>
      <c r="Y52" s="724"/>
    </row>
    <row r="54" spans="2:25" ht="14.5" customHeight="1">
      <c r="B54" s="724" t="s">
        <v>4057</v>
      </c>
      <c r="C54" s="724"/>
      <c r="D54" s="724"/>
      <c r="E54" s="724"/>
      <c r="F54" s="724"/>
      <c r="G54" s="724"/>
      <c r="H54" s="724"/>
      <c r="I54" s="724"/>
      <c r="J54" s="724"/>
      <c r="K54" s="724"/>
      <c r="L54" s="724"/>
      <c r="M54" s="724"/>
      <c r="N54" s="724"/>
      <c r="O54" s="724"/>
      <c r="P54" s="724"/>
      <c r="Q54" s="724"/>
      <c r="R54" s="724"/>
      <c r="S54" s="724"/>
      <c r="T54" s="724"/>
      <c r="U54" s="724"/>
      <c r="V54" s="724"/>
      <c r="W54" s="724"/>
      <c r="X54" s="724"/>
      <c r="Y54" s="724"/>
    </row>
  </sheetData>
  <mergeCells count="6">
    <mergeCell ref="B54:Y54"/>
    <mergeCell ref="A2:A30"/>
    <mergeCell ref="B46:Y46"/>
    <mergeCell ref="B48:Y48"/>
    <mergeCell ref="B50:Y50"/>
    <mergeCell ref="B52:Y52"/>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5D547-BA90-4DCF-9C7E-114A4FD89332}">
  <dimension ref="A1:S64"/>
  <sheetViews>
    <sheetView showGridLines="0" showRowColHeaders="0" zoomScale="85" zoomScaleNormal="85" workbookViewId="0">
      <selection sqref="A1:Q2"/>
    </sheetView>
  </sheetViews>
  <sheetFormatPr baseColWidth="10" defaultColWidth="11.453125" defaultRowHeight="14.5"/>
  <sheetData>
    <row r="1" spans="1:19">
      <c r="A1" s="727" t="s">
        <v>2630</v>
      </c>
      <c r="B1" s="728"/>
      <c r="C1" s="728"/>
      <c r="D1" s="728"/>
      <c r="E1" s="728"/>
      <c r="F1" s="728"/>
      <c r="G1" s="728"/>
      <c r="H1" s="728"/>
      <c r="I1" s="728"/>
      <c r="J1" s="728"/>
      <c r="K1" s="728"/>
      <c r="L1" s="728"/>
      <c r="M1" s="728"/>
      <c r="N1" s="728"/>
      <c r="O1" s="728"/>
      <c r="P1" s="728"/>
      <c r="Q1" s="729"/>
      <c r="R1" s="79"/>
      <c r="S1" s="79"/>
    </row>
    <row r="2" spans="1:19" ht="15" thickBot="1">
      <c r="A2" s="730"/>
      <c r="B2" s="731"/>
      <c r="C2" s="731"/>
      <c r="D2" s="731"/>
      <c r="E2" s="731"/>
      <c r="F2" s="731"/>
      <c r="G2" s="731"/>
      <c r="H2" s="731"/>
      <c r="I2" s="731"/>
      <c r="J2" s="731"/>
      <c r="K2" s="731"/>
      <c r="L2" s="731"/>
      <c r="M2" s="731"/>
      <c r="N2" s="731"/>
      <c r="O2" s="731"/>
      <c r="P2" s="731"/>
      <c r="Q2" s="732"/>
      <c r="R2" s="79"/>
      <c r="S2" s="79"/>
    </row>
    <row r="3" spans="1:19" ht="15" thickBot="1">
      <c r="A3" s="79"/>
      <c r="B3" s="79"/>
      <c r="C3" s="79"/>
      <c r="D3" s="79"/>
      <c r="E3" s="79"/>
      <c r="F3" s="79"/>
      <c r="G3" s="79"/>
      <c r="H3" s="79"/>
      <c r="I3" s="79"/>
      <c r="J3" s="79"/>
      <c r="K3" s="79"/>
      <c r="L3" s="79"/>
      <c r="M3" s="79"/>
      <c r="N3" s="79"/>
      <c r="O3" s="79"/>
      <c r="P3" s="79"/>
      <c r="Q3" s="79"/>
      <c r="R3" s="79"/>
      <c r="S3" s="79"/>
    </row>
    <row r="4" spans="1:19">
      <c r="A4" s="733" t="s">
        <v>2631</v>
      </c>
      <c r="B4" s="734"/>
      <c r="C4" s="734"/>
      <c r="D4" s="734"/>
      <c r="E4" s="734"/>
      <c r="F4" s="734"/>
      <c r="G4" s="734"/>
      <c r="H4" s="734"/>
      <c r="I4" s="734"/>
      <c r="J4" s="734"/>
      <c r="K4" s="734"/>
      <c r="L4" s="734"/>
      <c r="M4" s="734"/>
      <c r="N4" s="734"/>
      <c r="O4" s="734"/>
      <c r="P4" s="734"/>
      <c r="Q4" s="735"/>
      <c r="R4" s="79"/>
      <c r="S4" s="79"/>
    </row>
    <row r="5" spans="1:19">
      <c r="A5" s="736"/>
      <c r="B5" s="737"/>
      <c r="C5" s="737"/>
      <c r="D5" s="737"/>
      <c r="E5" s="737"/>
      <c r="F5" s="737"/>
      <c r="G5" s="737"/>
      <c r="H5" s="737"/>
      <c r="I5" s="737"/>
      <c r="J5" s="737"/>
      <c r="K5" s="737"/>
      <c r="L5" s="737"/>
      <c r="M5" s="737"/>
      <c r="N5" s="737"/>
      <c r="O5" s="737"/>
      <c r="P5" s="737"/>
      <c r="Q5" s="738"/>
      <c r="R5" s="79"/>
      <c r="S5" s="79"/>
    </row>
    <row r="6" spans="1:19" ht="15" thickBot="1">
      <c r="A6" s="739"/>
      <c r="B6" s="740"/>
      <c r="C6" s="740"/>
      <c r="D6" s="740"/>
      <c r="E6" s="740"/>
      <c r="F6" s="740"/>
      <c r="G6" s="740"/>
      <c r="H6" s="740"/>
      <c r="I6" s="740"/>
      <c r="J6" s="740"/>
      <c r="K6" s="740"/>
      <c r="L6" s="740"/>
      <c r="M6" s="740"/>
      <c r="N6" s="740"/>
      <c r="O6" s="740"/>
      <c r="P6" s="740"/>
      <c r="Q6" s="741"/>
      <c r="R6" s="79"/>
      <c r="S6" s="79"/>
    </row>
    <row r="7" spans="1:19" ht="15" thickBot="1">
      <c r="A7" s="79"/>
      <c r="B7" s="79"/>
      <c r="C7" s="79"/>
      <c r="D7" s="79"/>
      <c r="E7" s="79"/>
      <c r="F7" s="79"/>
      <c r="G7" s="79"/>
      <c r="H7" s="79"/>
      <c r="I7" s="79"/>
      <c r="J7" s="79"/>
      <c r="K7" s="79"/>
      <c r="L7" s="79"/>
      <c r="M7" s="79"/>
      <c r="N7" s="79"/>
      <c r="O7" s="79"/>
      <c r="P7" s="79"/>
      <c r="Q7" s="79"/>
      <c r="R7" s="79"/>
      <c r="S7" s="79"/>
    </row>
    <row r="8" spans="1:19">
      <c r="A8" s="742" t="s">
        <v>2632</v>
      </c>
      <c r="B8" s="743"/>
      <c r="C8" s="743"/>
      <c r="D8" s="743"/>
      <c r="E8" s="743"/>
      <c r="F8" s="743"/>
      <c r="G8" s="743"/>
      <c r="H8" s="743"/>
      <c r="I8" s="743"/>
      <c r="J8" s="743"/>
      <c r="K8" s="743"/>
      <c r="L8" s="743"/>
      <c r="M8" s="743"/>
      <c r="N8" s="743"/>
      <c r="O8" s="743"/>
      <c r="P8" s="743"/>
      <c r="Q8" s="744"/>
      <c r="R8" s="79"/>
      <c r="S8" s="79"/>
    </row>
    <row r="9" spans="1:19">
      <c r="A9" s="745"/>
      <c r="B9" s="746"/>
      <c r="C9" s="746"/>
      <c r="D9" s="746"/>
      <c r="E9" s="746"/>
      <c r="F9" s="746"/>
      <c r="G9" s="746"/>
      <c r="H9" s="746"/>
      <c r="I9" s="746"/>
      <c r="J9" s="746"/>
      <c r="K9" s="746"/>
      <c r="L9" s="746"/>
      <c r="M9" s="746"/>
      <c r="N9" s="746"/>
      <c r="O9" s="746"/>
      <c r="P9" s="746"/>
      <c r="Q9" s="747"/>
      <c r="R9" s="79"/>
      <c r="S9" s="79"/>
    </row>
    <row r="10" spans="1:19" ht="15" thickBot="1">
      <c r="A10" s="748"/>
      <c r="B10" s="749"/>
      <c r="C10" s="749"/>
      <c r="D10" s="749"/>
      <c r="E10" s="749"/>
      <c r="F10" s="749"/>
      <c r="G10" s="749"/>
      <c r="H10" s="749"/>
      <c r="I10" s="749"/>
      <c r="J10" s="749"/>
      <c r="K10" s="749"/>
      <c r="L10" s="749"/>
      <c r="M10" s="749"/>
      <c r="N10" s="749"/>
      <c r="O10" s="749"/>
      <c r="P10" s="749"/>
      <c r="Q10" s="750"/>
      <c r="R10" s="79"/>
      <c r="S10" s="79"/>
    </row>
    <row r="11" spans="1:19" ht="15" thickBot="1">
      <c r="A11" s="79"/>
      <c r="B11" s="79"/>
      <c r="C11" s="79"/>
      <c r="D11" s="79"/>
      <c r="E11" s="79"/>
      <c r="F11" s="79"/>
      <c r="G11" s="79"/>
      <c r="H11" s="79"/>
      <c r="I11" s="79"/>
      <c r="J11" s="79"/>
      <c r="K11" s="79"/>
      <c r="L11" s="79"/>
      <c r="M11" s="79"/>
      <c r="N11" s="79"/>
      <c r="O11" s="79"/>
      <c r="P11" s="79"/>
      <c r="Q11" s="79"/>
      <c r="R11" s="79"/>
      <c r="S11" s="79"/>
    </row>
    <row r="12" spans="1:19">
      <c r="A12" s="751" t="s">
        <v>2633</v>
      </c>
      <c r="B12" s="752"/>
      <c r="C12" s="752"/>
      <c r="D12" s="752"/>
      <c r="E12" s="752"/>
      <c r="F12" s="752"/>
      <c r="G12" s="752"/>
      <c r="H12" s="752"/>
      <c r="I12" s="752"/>
      <c r="J12" s="752"/>
      <c r="K12" s="752"/>
      <c r="L12" s="752"/>
      <c r="M12" s="752"/>
      <c r="N12" s="752"/>
      <c r="O12" s="752"/>
      <c r="P12" s="752"/>
      <c r="Q12" s="753"/>
      <c r="R12" s="79"/>
      <c r="S12" s="79"/>
    </row>
    <row r="13" spans="1:19">
      <c r="A13" s="754"/>
      <c r="B13" s="755"/>
      <c r="C13" s="755"/>
      <c r="D13" s="755"/>
      <c r="E13" s="755"/>
      <c r="F13" s="755"/>
      <c r="G13" s="755"/>
      <c r="H13" s="755"/>
      <c r="I13" s="755"/>
      <c r="J13" s="755"/>
      <c r="K13" s="755"/>
      <c r="L13" s="755"/>
      <c r="M13" s="755"/>
      <c r="N13" s="755"/>
      <c r="O13" s="755"/>
      <c r="P13" s="755"/>
      <c r="Q13" s="756"/>
      <c r="R13" s="79"/>
      <c r="S13" s="79"/>
    </row>
    <row r="14" spans="1:19" ht="15" thickBot="1">
      <c r="A14" s="757"/>
      <c r="B14" s="758"/>
      <c r="C14" s="758"/>
      <c r="D14" s="758"/>
      <c r="E14" s="758"/>
      <c r="F14" s="758"/>
      <c r="G14" s="758"/>
      <c r="H14" s="758"/>
      <c r="I14" s="758"/>
      <c r="J14" s="758"/>
      <c r="K14" s="758"/>
      <c r="L14" s="758"/>
      <c r="M14" s="758"/>
      <c r="N14" s="758"/>
      <c r="O14" s="758"/>
      <c r="P14" s="758"/>
      <c r="Q14" s="759"/>
      <c r="R14" s="79"/>
      <c r="S14" s="79"/>
    </row>
    <row r="15" spans="1:19" ht="15" thickBot="1">
      <c r="A15" s="79"/>
      <c r="B15" s="79"/>
      <c r="C15" s="79"/>
      <c r="D15" s="79"/>
      <c r="E15" s="79"/>
      <c r="F15" s="79"/>
      <c r="G15" s="79"/>
      <c r="H15" s="79"/>
      <c r="I15" s="79"/>
      <c r="J15" s="79"/>
      <c r="K15" s="79"/>
      <c r="L15" s="79"/>
      <c r="M15" s="79"/>
      <c r="N15" s="79"/>
      <c r="O15" s="79"/>
      <c r="P15" s="79"/>
      <c r="Q15" s="79"/>
      <c r="R15" s="79"/>
      <c r="S15" s="79"/>
    </row>
    <row r="16" spans="1:19" ht="14.5" customHeight="1">
      <c r="A16" s="760" t="s">
        <v>2634</v>
      </c>
      <c r="B16" s="761"/>
      <c r="C16" s="761"/>
      <c r="D16" s="761"/>
      <c r="E16" s="761"/>
      <c r="F16" s="761"/>
      <c r="G16" s="761"/>
      <c r="H16" s="761"/>
      <c r="I16" s="761"/>
      <c r="J16" s="761"/>
      <c r="K16" s="761"/>
      <c r="L16" s="761"/>
      <c r="M16" s="761"/>
      <c r="N16" s="761"/>
      <c r="O16" s="761"/>
      <c r="P16" s="761"/>
      <c r="Q16" s="762"/>
      <c r="R16" s="79"/>
      <c r="S16" s="79"/>
    </row>
    <row r="17" spans="1:19" ht="14.5" customHeight="1">
      <c r="A17" s="763"/>
      <c r="B17" s="764"/>
      <c r="C17" s="764"/>
      <c r="D17" s="764"/>
      <c r="E17" s="764"/>
      <c r="F17" s="764"/>
      <c r="G17" s="764"/>
      <c r="H17" s="764"/>
      <c r="I17" s="764"/>
      <c r="J17" s="764"/>
      <c r="K17" s="764"/>
      <c r="L17" s="764"/>
      <c r="M17" s="764"/>
      <c r="N17" s="764"/>
      <c r="O17" s="764"/>
      <c r="P17" s="764"/>
      <c r="Q17" s="765"/>
      <c r="R17" s="79"/>
      <c r="S17" s="79"/>
    </row>
    <row r="18" spans="1:19" ht="14.5" customHeight="1">
      <c r="A18" s="763"/>
      <c r="B18" s="764"/>
      <c r="C18" s="764"/>
      <c r="D18" s="764"/>
      <c r="E18" s="764"/>
      <c r="F18" s="764"/>
      <c r="G18" s="764"/>
      <c r="H18" s="764"/>
      <c r="I18" s="764"/>
      <c r="J18" s="764"/>
      <c r="K18" s="764"/>
      <c r="L18" s="764"/>
      <c r="M18" s="764"/>
      <c r="N18" s="764"/>
      <c r="O18" s="764"/>
      <c r="P18" s="764"/>
      <c r="Q18" s="765"/>
      <c r="R18" s="79"/>
      <c r="S18" s="79"/>
    </row>
    <row r="19" spans="1:19" ht="14.5" customHeight="1">
      <c r="A19" s="763"/>
      <c r="B19" s="764"/>
      <c r="C19" s="764"/>
      <c r="D19" s="764"/>
      <c r="E19" s="764"/>
      <c r="F19" s="764"/>
      <c r="G19" s="764"/>
      <c r="H19" s="764"/>
      <c r="I19" s="764"/>
      <c r="J19" s="764"/>
      <c r="K19" s="764"/>
      <c r="L19" s="764"/>
      <c r="M19" s="764"/>
      <c r="N19" s="764"/>
      <c r="O19" s="764"/>
      <c r="P19" s="764"/>
      <c r="Q19" s="765"/>
      <c r="R19" s="79"/>
      <c r="S19" s="79"/>
    </row>
    <row r="20" spans="1:19" ht="14.5" customHeight="1">
      <c r="A20" s="763"/>
      <c r="B20" s="764"/>
      <c r="C20" s="764"/>
      <c r="D20" s="764"/>
      <c r="E20" s="764"/>
      <c r="F20" s="764"/>
      <c r="G20" s="764"/>
      <c r="H20" s="764"/>
      <c r="I20" s="764"/>
      <c r="J20" s="764"/>
      <c r="K20" s="764"/>
      <c r="L20" s="764"/>
      <c r="M20" s="764"/>
      <c r="N20" s="764"/>
      <c r="O20" s="764"/>
      <c r="P20" s="764"/>
      <c r="Q20" s="765"/>
      <c r="R20" s="79"/>
      <c r="S20" s="79"/>
    </row>
    <row r="21" spans="1:19" ht="14.5" customHeight="1">
      <c r="A21" s="763"/>
      <c r="B21" s="764"/>
      <c r="C21" s="764"/>
      <c r="D21" s="764"/>
      <c r="E21" s="764"/>
      <c r="F21" s="764"/>
      <c r="G21" s="764"/>
      <c r="H21" s="764"/>
      <c r="I21" s="764"/>
      <c r="J21" s="764"/>
      <c r="K21" s="764"/>
      <c r="L21" s="764"/>
      <c r="M21" s="764"/>
      <c r="N21" s="764"/>
      <c r="O21" s="764"/>
      <c r="P21" s="764"/>
      <c r="Q21" s="765"/>
      <c r="R21" s="79"/>
      <c r="S21" s="79"/>
    </row>
    <row r="22" spans="1:19" ht="14.5" customHeight="1">
      <c r="A22" s="763"/>
      <c r="B22" s="764"/>
      <c r="C22" s="764"/>
      <c r="D22" s="764"/>
      <c r="E22" s="764"/>
      <c r="F22" s="764"/>
      <c r="G22" s="764"/>
      <c r="H22" s="764"/>
      <c r="I22" s="764"/>
      <c r="J22" s="764"/>
      <c r="K22" s="764"/>
      <c r="L22" s="764"/>
      <c r="M22" s="764"/>
      <c r="N22" s="764"/>
      <c r="O22" s="764"/>
      <c r="P22" s="764"/>
      <c r="Q22" s="765"/>
      <c r="R22" s="79"/>
      <c r="S22" s="79"/>
    </row>
    <row r="23" spans="1:19" ht="14.5" customHeight="1">
      <c r="A23" s="763"/>
      <c r="B23" s="764"/>
      <c r="C23" s="764"/>
      <c r="D23" s="764"/>
      <c r="E23" s="764"/>
      <c r="F23" s="764"/>
      <c r="G23" s="764"/>
      <c r="H23" s="764"/>
      <c r="I23" s="764"/>
      <c r="J23" s="764"/>
      <c r="K23" s="764"/>
      <c r="L23" s="764"/>
      <c r="M23" s="764"/>
      <c r="N23" s="764"/>
      <c r="O23" s="764"/>
      <c r="P23" s="764"/>
      <c r="Q23" s="765"/>
      <c r="R23" s="79"/>
      <c r="S23" s="79"/>
    </row>
    <row r="24" spans="1:19" ht="14.5" customHeight="1">
      <c r="A24" s="763"/>
      <c r="B24" s="764"/>
      <c r="C24" s="764"/>
      <c r="D24" s="764"/>
      <c r="E24" s="764"/>
      <c r="F24" s="764"/>
      <c r="G24" s="764"/>
      <c r="H24" s="764"/>
      <c r="I24" s="764"/>
      <c r="J24" s="764"/>
      <c r="K24" s="764"/>
      <c r="L24" s="764"/>
      <c r="M24" s="764"/>
      <c r="N24" s="764"/>
      <c r="O24" s="764"/>
      <c r="P24" s="764"/>
      <c r="Q24" s="765"/>
      <c r="R24" s="79"/>
      <c r="S24" s="79"/>
    </row>
    <row r="25" spans="1:19" ht="14.5" customHeight="1">
      <c r="A25" s="763"/>
      <c r="B25" s="764"/>
      <c r="C25" s="764"/>
      <c r="D25" s="764"/>
      <c r="E25" s="764"/>
      <c r="F25" s="764"/>
      <c r="G25" s="764"/>
      <c r="H25" s="764"/>
      <c r="I25" s="764"/>
      <c r="J25" s="764"/>
      <c r="K25" s="764"/>
      <c r="L25" s="764"/>
      <c r="M25" s="764"/>
      <c r="N25" s="764"/>
      <c r="O25" s="764"/>
      <c r="P25" s="764"/>
      <c r="Q25" s="765"/>
      <c r="R25" s="79"/>
      <c r="S25" s="79"/>
    </row>
    <row r="26" spans="1:19" ht="14.5" customHeight="1">
      <c r="A26" s="763"/>
      <c r="B26" s="764"/>
      <c r="C26" s="764"/>
      <c r="D26" s="764"/>
      <c r="E26" s="764"/>
      <c r="F26" s="764"/>
      <c r="G26" s="764"/>
      <c r="H26" s="764"/>
      <c r="I26" s="764"/>
      <c r="J26" s="764"/>
      <c r="K26" s="764"/>
      <c r="L26" s="764"/>
      <c r="M26" s="764"/>
      <c r="N26" s="764"/>
      <c r="O26" s="764"/>
      <c r="P26" s="764"/>
      <c r="Q26" s="765"/>
      <c r="R26" s="79"/>
      <c r="S26" s="79"/>
    </row>
    <row r="27" spans="1:19" ht="14.5" customHeight="1">
      <c r="A27" s="763"/>
      <c r="B27" s="764"/>
      <c r="C27" s="764"/>
      <c r="D27" s="764"/>
      <c r="E27" s="764"/>
      <c r="F27" s="764"/>
      <c r="G27" s="764"/>
      <c r="H27" s="764"/>
      <c r="I27" s="764"/>
      <c r="J27" s="764"/>
      <c r="K27" s="764"/>
      <c r="L27" s="764"/>
      <c r="M27" s="764"/>
      <c r="N27" s="764"/>
      <c r="O27" s="764"/>
      <c r="P27" s="764"/>
      <c r="Q27" s="765"/>
      <c r="R27" s="79"/>
      <c r="S27" s="79"/>
    </row>
    <row r="28" spans="1:19" ht="14.5" customHeight="1">
      <c r="A28" s="763"/>
      <c r="B28" s="764"/>
      <c r="C28" s="764"/>
      <c r="D28" s="764"/>
      <c r="E28" s="764"/>
      <c r="F28" s="764"/>
      <c r="G28" s="764"/>
      <c r="H28" s="764"/>
      <c r="I28" s="764"/>
      <c r="J28" s="764"/>
      <c r="K28" s="764"/>
      <c r="L28" s="764"/>
      <c r="M28" s="764"/>
      <c r="N28" s="764"/>
      <c r="O28" s="764"/>
      <c r="P28" s="764"/>
      <c r="Q28" s="765"/>
      <c r="R28" s="79"/>
      <c r="S28" s="79"/>
    </row>
    <row r="29" spans="1:19" ht="14.5" customHeight="1">
      <c r="A29" s="763"/>
      <c r="B29" s="764"/>
      <c r="C29" s="764"/>
      <c r="D29" s="764"/>
      <c r="E29" s="764"/>
      <c r="F29" s="764"/>
      <c r="G29" s="764"/>
      <c r="H29" s="764"/>
      <c r="I29" s="764"/>
      <c r="J29" s="764"/>
      <c r="K29" s="764"/>
      <c r="L29" s="764"/>
      <c r="M29" s="764"/>
      <c r="N29" s="764"/>
      <c r="O29" s="764"/>
      <c r="P29" s="764"/>
      <c r="Q29" s="765"/>
      <c r="R29" s="79"/>
      <c r="S29" s="79"/>
    </row>
    <row r="30" spans="1:19" ht="14.5" customHeight="1">
      <c r="A30" s="763"/>
      <c r="B30" s="764"/>
      <c r="C30" s="764"/>
      <c r="D30" s="764"/>
      <c r="E30" s="764"/>
      <c r="F30" s="764"/>
      <c r="G30" s="764"/>
      <c r="H30" s="764"/>
      <c r="I30" s="764"/>
      <c r="J30" s="764"/>
      <c r="K30" s="764"/>
      <c r="L30" s="764"/>
      <c r="M30" s="764"/>
      <c r="N30" s="764"/>
      <c r="O30" s="764"/>
      <c r="P30" s="764"/>
      <c r="Q30" s="765"/>
      <c r="R30" s="79"/>
      <c r="S30" s="79"/>
    </row>
    <row r="31" spans="1:19" ht="14.5" customHeight="1">
      <c r="A31" s="763"/>
      <c r="B31" s="764"/>
      <c r="C31" s="764"/>
      <c r="D31" s="764"/>
      <c r="E31" s="764"/>
      <c r="F31" s="764"/>
      <c r="G31" s="764"/>
      <c r="H31" s="764"/>
      <c r="I31" s="764"/>
      <c r="J31" s="764"/>
      <c r="K31" s="764"/>
      <c r="L31" s="764"/>
      <c r="M31" s="764"/>
      <c r="N31" s="764"/>
      <c r="O31" s="764"/>
      <c r="P31" s="764"/>
      <c r="Q31" s="765"/>
      <c r="R31" s="79"/>
      <c r="S31" s="79"/>
    </row>
    <row r="32" spans="1:19" ht="14.5" customHeight="1">
      <c r="A32" s="763"/>
      <c r="B32" s="764"/>
      <c r="C32" s="764"/>
      <c r="D32" s="764"/>
      <c r="E32" s="764"/>
      <c r="F32" s="764"/>
      <c r="G32" s="764"/>
      <c r="H32" s="764"/>
      <c r="I32" s="764"/>
      <c r="J32" s="764"/>
      <c r="K32" s="764"/>
      <c r="L32" s="764"/>
      <c r="M32" s="764"/>
      <c r="N32" s="764"/>
      <c r="O32" s="764"/>
      <c r="P32" s="764"/>
      <c r="Q32" s="765"/>
      <c r="R32" s="79"/>
      <c r="S32" s="79"/>
    </row>
    <row r="33" spans="1:19" ht="14.5" customHeight="1">
      <c r="A33" s="763"/>
      <c r="B33" s="764"/>
      <c r="C33" s="764"/>
      <c r="D33" s="764"/>
      <c r="E33" s="764"/>
      <c r="F33" s="764"/>
      <c r="G33" s="764"/>
      <c r="H33" s="764"/>
      <c r="I33" s="764"/>
      <c r="J33" s="764"/>
      <c r="K33" s="764"/>
      <c r="L33" s="764"/>
      <c r="M33" s="764"/>
      <c r="N33" s="764"/>
      <c r="O33" s="764"/>
      <c r="P33" s="764"/>
      <c r="Q33" s="765"/>
      <c r="R33" s="79"/>
      <c r="S33" s="79"/>
    </row>
    <row r="34" spans="1:19" ht="14.5" customHeight="1">
      <c r="A34" s="763"/>
      <c r="B34" s="764"/>
      <c r="C34" s="764"/>
      <c r="D34" s="764"/>
      <c r="E34" s="764"/>
      <c r="F34" s="764"/>
      <c r="G34" s="764"/>
      <c r="H34" s="764"/>
      <c r="I34" s="764"/>
      <c r="J34" s="764"/>
      <c r="K34" s="764"/>
      <c r="L34" s="764"/>
      <c r="M34" s="764"/>
      <c r="N34" s="764"/>
      <c r="O34" s="764"/>
      <c r="P34" s="764"/>
      <c r="Q34" s="765"/>
      <c r="R34" s="79"/>
      <c r="S34" s="79"/>
    </row>
    <row r="35" spans="1:19" ht="14.5" customHeight="1">
      <c r="A35" s="763"/>
      <c r="B35" s="764"/>
      <c r="C35" s="764"/>
      <c r="D35" s="764"/>
      <c r="E35" s="764"/>
      <c r="F35" s="764"/>
      <c r="G35" s="764"/>
      <c r="H35" s="764"/>
      <c r="I35" s="764"/>
      <c r="J35" s="764"/>
      <c r="K35" s="764"/>
      <c r="L35" s="764"/>
      <c r="M35" s="764"/>
      <c r="N35" s="764"/>
      <c r="O35" s="764"/>
      <c r="P35" s="764"/>
      <c r="Q35" s="765"/>
      <c r="R35" s="79"/>
      <c r="S35" s="79"/>
    </row>
    <row r="36" spans="1:19" ht="14.5" customHeight="1">
      <c r="A36" s="763"/>
      <c r="B36" s="764"/>
      <c r="C36" s="764"/>
      <c r="D36" s="764"/>
      <c r="E36" s="764"/>
      <c r="F36" s="764"/>
      <c r="G36" s="764"/>
      <c r="H36" s="764"/>
      <c r="I36" s="764"/>
      <c r="J36" s="764"/>
      <c r="K36" s="764"/>
      <c r="L36" s="764"/>
      <c r="M36" s="764"/>
      <c r="N36" s="764"/>
      <c r="O36" s="764"/>
      <c r="P36" s="764"/>
      <c r="Q36" s="765"/>
      <c r="R36" s="79"/>
      <c r="S36" s="79"/>
    </row>
    <row r="37" spans="1:19" ht="14.5" customHeight="1">
      <c r="A37" s="763"/>
      <c r="B37" s="764"/>
      <c r="C37" s="764"/>
      <c r="D37" s="764"/>
      <c r="E37" s="764"/>
      <c r="F37" s="764"/>
      <c r="G37" s="764"/>
      <c r="H37" s="764"/>
      <c r="I37" s="764"/>
      <c r="J37" s="764"/>
      <c r="K37" s="764"/>
      <c r="L37" s="764"/>
      <c r="M37" s="764"/>
      <c r="N37" s="764"/>
      <c r="O37" s="764"/>
      <c r="P37" s="764"/>
      <c r="Q37" s="765"/>
      <c r="R37" s="79"/>
      <c r="S37" s="79"/>
    </row>
    <row r="38" spans="1:19" ht="14.5" customHeight="1">
      <c r="A38" s="763"/>
      <c r="B38" s="764"/>
      <c r="C38" s="764"/>
      <c r="D38" s="764"/>
      <c r="E38" s="764"/>
      <c r="F38" s="764"/>
      <c r="G38" s="764"/>
      <c r="H38" s="764"/>
      <c r="I38" s="764"/>
      <c r="J38" s="764"/>
      <c r="K38" s="764"/>
      <c r="L38" s="764"/>
      <c r="M38" s="764"/>
      <c r="N38" s="764"/>
      <c r="O38" s="764"/>
      <c r="P38" s="764"/>
      <c r="Q38" s="765"/>
      <c r="R38" s="79"/>
      <c r="S38" s="79"/>
    </row>
    <row r="39" spans="1:19" ht="14.5" customHeight="1">
      <c r="A39" s="763"/>
      <c r="B39" s="764"/>
      <c r="C39" s="764"/>
      <c r="D39" s="764"/>
      <c r="E39" s="764"/>
      <c r="F39" s="764"/>
      <c r="G39" s="764"/>
      <c r="H39" s="764"/>
      <c r="I39" s="764"/>
      <c r="J39" s="764"/>
      <c r="K39" s="764"/>
      <c r="L39" s="764"/>
      <c r="M39" s="764"/>
      <c r="N39" s="764"/>
      <c r="O39" s="764"/>
      <c r="P39" s="764"/>
      <c r="Q39" s="765"/>
      <c r="R39" s="79"/>
      <c r="S39" s="79"/>
    </row>
    <row r="40" spans="1:19" ht="14.5" customHeight="1">
      <c r="A40" s="763"/>
      <c r="B40" s="764"/>
      <c r="C40" s="764"/>
      <c r="D40" s="764"/>
      <c r="E40" s="764"/>
      <c r="F40" s="764"/>
      <c r="G40" s="764"/>
      <c r="H40" s="764"/>
      <c r="I40" s="764"/>
      <c r="J40" s="764"/>
      <c r="K40" s="764"/>
      <c r="L40" s="764"/>
      <c r="M40" s="764"/>
      <c r="N40" s="764"/>
      <c r="O40" s="764"/>
      <c r="P40" s="764"/>
      <c r="Q40" s="765"/>
      <c r="R40" s="79"/>
      <c r="S40" s="79"/>
    </row>
    <row r="41" spans="1:19" ht="14.5" customHeight="1">
      <c r="A41" s="763"/>
      <c r="B41" s="764"/>
      <c r="C41" s="764"/>
      <c r="D41" s="764"/>
      <c r="E41" s="764"/>
      <c r="F41" s="764"/>
      <c r="G41" s="764"/>
      <c r="H41" s="764"/>
      <c r="I41" s="764"/>
      <c r="J41" s="764"/>
      <c r="K41" s="764"/>
      <c r="L41" s="764"/>
      <c r="M41" s="764"/>
      <c r="N41" s="764"/>
      <c r="O41" s="764"/>
      <c r="P41" s="764"/>
      <c r="Q41" s="765"/>
      <c r="R41" s="79"/>
      <c r="S41" s="79"/>
    </row>
    <row r="42" spans="1:19" ht="14.5" customHeight="1">
      <c r="A42" s="763"/>
      <c r="B42" s="764"/>
      <c r="C42" s="764"/>
      <c r="D42" s="764"/>
      <c r="E42" s="764"/>
      <c r="F42" s="764"/>
      <c r="G42" s="764"/>
      <c r="H42" s="764"/>
      <c r="I42" s="764"/>
      <c r="J42" s="764"/>
      <c r="K42" s="764"/>
      <c r="L42" s="764"/>
      <c r="M42" s="764"/>
      <c r="N42" s="764"/>
      <c r="O42" s="764"/>
      <c r="P42" s="764"/>
      <c r="Q42" s="765"/>
      <c r="R42" s="79"/>
      <c r="S42" s="79"/>
    </row>
    <row r="43" spans="1:19" ht="14.5" customHeight="1">
      <c r="A43" s="763"/>
      <c r="B43" s="764"/>
      <c r="C43" s="764"/>
      <c r="D43" s="764"/>
      <c r="E43" s="764"/>
      <c r="F43" s="764"/>
      <c r="G43" s="764"/>
      <c r="H43" s="764"/>
      <c r="I43" s="764"/>
      <c r="J43" s="764"/>
      <c r="K43" s="764"/>
      <c r="L43" s="764"/>
      <c r="M43" s="764"/>
      <c r="N43" s="764"/>
      <c r="O43" s="764"/>
      <c r="P43" s="764"/>
      <c r="Q43" s="765"/>
      <c r="R43" s="79"/>
      <c r="S43" s="79"/>
    </row>
    <row r="44" spans="1:19" ht="14.5" customHeight="1">
      <c r="A44" s="763"/>
      <c r="B44" s="764"/>
      <c r="C44" s="764"/>
      <c r="D44" s="764"/>
      <c r="E44" s="764"/>
      <c r="F44" s="764"/>
      <c r="G44" s="764"/>
      <c r="H44" s="764"/>
      <c r="I44" s="764"/>
      <c r="J44" s="764"/>
      <c r="K44" s="764"/>
      <c r="L44" s="764"/>
      <c r="M44" s="764"/>
      <c r="N44" s="764"/>
      <c r="O44" s="764"/>
      <c r="P44" s="764"/>
      <c r="Q44" s="765"/>
      <c r="R44" s="79"/>
      <c r="S44" s="79"/>
    </row>
    <row r="45" spans="1:19" ht="14.5" customHeight="1">
      <c r="A45" s="763"/>
      <c r="B45" s="764"/>
      <c r="C45" s="764"/>
      <c r="D45" s="764"/>
      <c r="E45" s="764"/>
      <c r="F45" s="764"/>
      <c r="G45" s="764"/>
      <c r="H45" s="764"/>
      <c r="I45" s="764"/>
      <c r="J45" s="764"/>
      <c r="K45" s="764"/>
      <c r="L45" s="764"/>
      <c r="M45" s="764"/>
      <c r="N45" s="764"/>
      <c r="O45" s="764"/>
      <c r="P45" s="764"/>
      <c r="Q45" s="765"/>
      <c r="R45" s="79"/>
      <c r="S45" s="79"/>
    </row>
    <row r="46" spans="1:19" ht="14.5" customHeight="1">
      <c r="A46" s="763"/>
      <c r="B46" s="764"/>
      <c r="C46" s="764"/>
      <c r="D46" s="764"/>
      <c r="E46" s="764"/>
      <c r="F46" s="764"/>
      <c r="G46" s="764"/>
      <c r="H46" s="764"/>
      <c r="I46" s="764"/>
      <c r="J46" s="764"/>
      <c r="K46" s="764"/>
      <c r="L46" s="764"/>
      <c r="M46" s="764"/>
      <c r="N46" s="764"/>
      <c r="O46" s="764"/>
      <c r="P46" s="764"/>
      <c r="Q46" s="765"/>
      <c r="R46" s="79"/>
      <c r="S46" s="79"/>
    </row>
    <row r="47" spans="1:19" ht="14.5" customHeight="1">
      <c r="A47" s="763"/>
      <c r="B47" s="764"/>
      <c r="C47" s="764"/>
      <c r="D47" s="764"/>
      <c r="E47" s="764"/>
      <c r="F47" s="764"/>
      <c r="G47" s="764"/>
      <c r="H47" s="764"/>
      <c r="I47" s="764"/>
      <c r="J47" s="764"/>
      <c r="K47" s="764"/>
      <c r="L47" s="764"/>
      <c r="M47" s="764"/>
      <c r="N47" s="764"/>
      <c r="O47" s="764"/>
      <c r="P47" s="764"/>
      <c r="Q47" s="765"/>
      <c r="R47" s="79"/>
      <c r="S47" s="79"/>
    </row>
    <row r="48" spans="1:19" ht="14.5" customHeight="1">
      <c r="A48" s="763"/>
      <c r="B48" s="764"/>
      <c r="C48" s="764"/>
      <c r="D48" s="764"/>
      <c r="E48" s="764"/>
      <c r="F48" s="764"/>
      <c r="G48" s="764"/>
      <c r="H48" s="764"/>
      <c r="I48" s="764"/>
      <c r="J48" s="764"/>
      <c r="K48" s="764"/>
      <c r="L48" s="764"/>
      <c r="M48" s="764"/>
      <c r="N48" s="764"/>
      <c r="O48" s="764"/>
      <c r="P48" s="764"/>
      <c r="Q48" s="765"/>
      <c r="R48" s="79"/>
      <c r="S48" s="79"/>
    </row>
    <row r="49" spans="1:19" ht="14.5" customHeight="1">
      <c r="A49" s="763"/>
      <c r="B49" s="764"/>
      <c r="C49" s="764"/>
      <c r="D49" s="764"/>
      <c r="E49" s="764"/>
      <c r="F49" s="764"/>
      <c r="G49" s="764"/>
      <c r="H49" s="764"/>
      <c r="I49" s="764"/>
      <c r="J49" s="764"/>
      <c r="K49" s="764"/>
      <c r="L49" s="764"/>
      <c r="M49" s="764"/>
      <c r="N49" s="764"/>
      <c r="O49" s="764"/>
      <c r="P49" s="764"/>
      <c r="Q49" s="765"/>
      <c r="R49" s="79"/>
      <c r="S49" s="79"/>
    </row>
    <row r="50" spans="1:19">
      <c r="A50" s="763"/>
      <c r="B50" s="764"/>
      <c r="C50" s="764"/>
      <c r="D50" s="764"/>
      <c r="E50" s="764"/>
      <c r="F50" s="764"/>
      <c r="G50" s="764"/>
      <c r="H50" s="764"/>
      <c r="I50" s="764"/>
      <c r="J50" s="764"/>
      <c r="K50" s="764"/>
      <c r="L50" s="764"/>
      <c r="M50" s="764"/>
      <c r="N50" s="764"/>
      <c r="O50" s="764"/>
      <c r="P50" s="764"/>
      <c r="Q50" s="765"/>
      <c r="R50" s="79"/>
      <c r="S50" s="79"/>
    </row>
    <row r="51" spans="1:19">
      <c r="A51" s="763"/>
      <c r="B51" s="764"/>
      <c r="C51" s="764"/>
      <c r="D51" s="764"/>
      <c r="E51" s="764"/>
      <c r="F51" s="764"/>
      <c r="G51" s="764"/>
      <c r="H51" s="764"/>
      <c r="I51" s="764"/>
      <c r="J51" s="764"/>
      <c r="K51" s="764"/>
      <c r="L51" s="764"/>
      <c r="M51" s="764"/>
      <c r="N51" s="764"/>
      <c r="O51" s="764"/>
      <c r="P51" s="764"/>
      <c r="Q51" s="765"/>
      <c r="R51" s="79"/>
      <c r="S51" s="79"/>
    </row>
    <row r="52" spans="1:19">
      <c r="A52" s="763"/>
      <c r="B52" s="764"/>
      <c r="C52" s="764"/>
      <c r="D52" s="764"/>
      <c r="E52" s="764"/>
      <c r="F52" s="764"/>
      <c r="G52" s="764"/>
      <c r="H52" s="764"/>
      <c r="I52" s="764"/>
      <c r="J52" s="764"/>
      <c r="K52" s="764"/>
      <c r="L52" s="764"/>
      <c r="M52" s="764"/>
      <c r="N52" s="764"/>
      <c r="O52" s="764"/>
      <c r="P52" s="764"/>
      <c r="Q52" s="765"/>
      <c r="R52" s="79"/>
      <c r="S52" s="79"/>
    </row>
    <row r="53" spans="1:19">
      <c r="A53" s="763"/>
      <c r="B53" s="764"/>
      <c r="C53" s="764"/>
      <c r="D53" s="764"/>
      <c r="E53" s="764"/>
      <c r="F53" s="764"/>
      <c r="G53" s="764"/>
      <c r="H53" s="764"/>
      <c r="I53" s="764"/>
      <c r="J53" s="764"/>
      <c r="K53" s="764"/>
      <c r="L53" s="764"/>
      <c r="M53" s="764"/>
      <c r="N53" s="764"/>
      <c r="O53" s="764"/>
      <c r="P53" s="764"/>
      <c r="Q53" s="765"/>
      <c r="R53" s="79"/>
      <c r="S53" s="79"/>
    </row>
    <row r="54" spans="1:19">
      <c r="A54" s="763"/>
      <c r="B54" s="764"/>
      <c r="C54" s="764"/>
      <c r="D54" s="764"/>
      <c r="E54" s="764"/>
      <c r="F54" s="764"/>
      <c r="G54" s="764"/>
      <c r="H54" s="764"/>
      <c r="I54" s="764"/>
      <c r="J54" s="764"/>
      <c r="K54" s="764"/>
      <c r="L54" s="764"/>
      <c r="M54" s="764"/>
      <c r="N54" s="764"/>
      <c r="O54" s="764"/>
      <c r="P54" s="764"/>
      <c r="Q54" s="765"/>
      <c r="R54" s="79"/>
      <c r="S54" s="79"/>
    </row>
    <row r="55" spans="1:19">
      <c r="A55" s="763"/>
      <c r="B55" s="764"/>
      <c r="C55" s="764"/>
      <c r="D55" s="764"/>
      <c r="E55" s="764"/>
      <c r="F55" s="764"/>
      <c r="G55" s="764"/>
      <c r="H55" s="764"/>
      <c r="I55" s="764"/>
      <c r="J55" s="764"/>
      <c r="K55" s="764"/>
      <c r="L55" s="764"/>
      <c r="M55" s="764"/>
      <c r="N55" s="764"/>
      <c r="O55" s="764"/>
      <c r="P55" s="764"/>
      <c r="Q55" s="765"/>
      <c r="R55" s="79"/>
      <c r="S55" s="79"/>
    </row>
    <row r="56" spans="1:19">
      <c r="A56" s="763"/>
      <c r="B56" s="764"/>
      <c r="C56" s="764"/>
      <c r="D56" s="764"/>
      <c r="E56" s="764"/>
      <c r="F56" s="764"/>
      <c r="G56" s="764"/>
      <c r="H56" s="764"/>
      <c r="I56" s="764"/>
      <c r="J56" s="764"/>
      <c r="K56" s="764"/>
      <c r="L56" s="764"/>
      <c r="M56" s="764"/>
      <c r="N56" s="764"/>
      <c r="O56" s="764"/>
      <c r="P56" s="764"/>
      <c r="Q56" s="765"/>
      <c r="R56" s="79"/>
      <c r="S56" s="79"/>
    </row>
    <row r="57" spans="1:19">
      <c r="A57" s="763"/>
      <c r="B57" s="764"/>
      <c r="C57" s="764"/>
      <c r="D57" s="764"/>
      <c r="E57" s="764"/>
      <c r="F57" s="764"/>
      <c r="G57" s="764"/>
      <c r="H57" s="764"/>
      <c r="I57" s="764"/>
      <c r="J57" s="764"/>
      <c r="K57" s="764"/>
      <c r="L57" s="764"/>
      <c r="M57" s="764"/>
      <c r="N57" s="764"/>
      <c r="O57" s="764"/>
      <c r="P57" s="764"/>
      <c r="Q57" s="765"/>
      <c r="R57" s="79"/>
      <c r="S57" s="79"/>
    </row>
    <row r="58" spans="1:19">
      <c r="A58" s="763"/>
      <c r="B58" s="764"/>
      <c r="C58" s="764"/>
      <c r="D58" s="764"/>
      <c r="E58" s="764"/>
      <c r="F58" s="764"/>
      <c r="G58" s="764"/>
      <c r="H58" s="764"/>
      <c r="I58" s="764"/>
      <c r="J58" s="764"/>
      <c r="K58" s="764"/>
      <c r="L58" s="764"/>
      <c r="M58" s="764"/>
      <c r="N58" s="764"/>
      <c r="O58" s="764"/>
      <c r="P58" s="764"/>
      <c r="Q58" s="765"/>
      <c r="R58" s="79"/>
      <c r="S58" s="79"/>
    </row>
    <row r="59" spans="1:19">
      <c r="A59" s="763"/>
      <c r="B59" s="764"/>
      <c r="C59" s="764"/>
      <c r="D59" s="764"/>
      <c r="E59" s="764"/>
      <c r="F59" s="764"/>
      <c r="G59" s="764"/>
      <c r="H59" s="764"/>
      <c r="I59" s="764"/>
      <c r="J59" s="764"/>
      <c r="K59" s="764"/>
      <c r="L59" s="764"/>
      <c r="M59" s="764"/>
      <c r="N59" s="764"/>
      <c r="O59" s="764"/>
      <c r="P59" s="764"/>
      <c r="Q59" s="765"/>
      <c r="R59" s="79"/>
      <c r="S59" s="79"/>
    </row>
    <row r="60" spans="1:19">
      <c r="A60" s="763"/>
      <c r="B60" s="764"/>
      <c r="C60" s="764"/>
      <c r="D60" s="764"/>
      <c r="E60" s="764"/>
      <c r="F60" s="764"/>
      <c r="G60" s="764"/>
      <c r="H60" s="764"/>
      <c r="I60" s="764"/>
      <c r="J60" s="764"/>
      <c r="K60" s="764"/>
      <c r="L60" s="764"/>
      <c r="M60" s="764"/>
      <c r="N60" s="764"/>
      <c r="O60" s="764"/>
      <c r="P60" s="764"/>
      <c r="Q60" s="765"/>
      <c r="R60" s="79"/>
      <c r="S60" s="79"/>
    </row>
    <row r="61" spans="1:19">
      <c r="A61" s="763"/>
      <c r="B61" s="764"/>
      <c r="C61" s="764"/>
      <c r="D61" s="764"/>
      <c r="E61" s="764"/>
      <c r="F61" s="764"/>
      <c r="G61" s="764"/>
      <c r="H61" s="764"/>
      <c r="I61" s="764"/>
      <c r="J61" s="764"/>
      <c r="K61" s="764"/>
      <c r="L61" s="764"/>
      <c r="M61" s="764"/>
      <c r="N61" s="764"/>
      <c r="O61" s="764"/>
      <c r="P61" s="764"/>
      <c r="Q61" s="765"/>
      <c r="R61" s="79"/>
      <c r="S61" s="79"/>
    </row>
    <row r="62" spans="1:19" ht="15" thickBot="1">
      <c r="A62" s="766"/>
      <c r="B62" s="767"/>
      <c r="C62" s="767"/>
      <c r="D62" s="767"/>
      <c r="E62" s="767"/>
      <c r="F62" s="767"/>
      <c r="G62" s="767"/>
      <c r="H62" s="767"/>
      <c r="I62" s="767"/>
      <c r="J62" s="767"/>
      <c r="K62" s="767"/>
      <c r="L62" s="767"/>
      <c r="M62" s="767"/>
      <c r="N62" s="767"/>
      <c r="O62" s="767"/>
      <c r="P62" s="767"/>
      <c r="Q62" s="768"/>
      <c r="R62" s="79"/>
      <c r="S62" s="79"/>
    </row>
    <row r="63" spans="1:19">
      <c r="A63" s="79"/>
      <c r="B63" s="79"/>
      <c r="C63" s="79"/>
      <c r="D63" s="79"/>
      <c r="E63" s="79"/>
      <c r="F63" s="79"/>
      <c r="G63" s="79"/>
      <c r="H63" s="79"/>
      <c r="I63" s="79"/>
      <c r="J63" s="79"/>
      <c r="K63" s="79"/>
      <c r="L63" s="79"/>
      <c r="M63" s="79"/>
      <c r="N63" s="79"/>
      <c r="O63" s="79"/>
      <c r="P63" s="79"/>
      <c r="Q63" s="79"/>
      <c r="R63" s="79"/>
      <c r="S63" s="79"/>
    </row>
    <row r="64" spans="1:19">
      <c r="A64" s="79"/>
      <c r="B64" s="79"/>
      <c r="C64" s="79"/>
      <c r="D64" s="79"/>
      <c r="E64" s="79"/>
      <c r="F64" s="79"/>
      <c r="G64" s="79"/>
      <c r="H64" s="79"/>
      <c r="I64" s="79"/>
      <c r="J64" s="79"/>
      <c r="K64" s="79"/>
      <c r="L64" s="79"/>
      <c r="M64" s="79"/>
      <c r="N64" s="79"/>
      <c r="O64" s="79"/>
      <c r="P64" s="79"/>
      <c r="Q64" s="79"/>
      <c r="R64" s="79"/>
      <c r="S64" s="79"/>
    </row>
  </sheetData>
  <mergeCells count="5">
    <mergeCell ref="A1:Q2"/>
    <mergeCell ref="A4:Q6"/>
    <mergeCell ref="A8:Q10"/>
    <mergeCell ref="A12:Q14"/>
    <mergeCell ref="A16:Q6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70A4-3C49-4B9F-AD7C-4DFF2383EFF2}">
  <dimension ref="A1:R36"/>
  <sheetViews>
    <sheetView showGridLines="0" showRowColHeaders="0" zoomScale="85" zoomScaleNormal="85" workbookViewId="0">
      <selection sqref="A1:Q2"/>
    </sheetView>
  </sheetViews>
  <sheetFormatPr baseColWidth="10" defaultColWidth="11.453125" defaultRowHeight="14.5"/>
  <cols>
    <col min="1" max="1" width="16.7265625" bestFit="1" customWidth="1"/>
    <col min="2" max="2" width="14" customWidth="1"/>
  </cols>
  <sheetData>
    <row r="1" spans="1:18">
      <c r="A1" s="727" t="s">
        <v>2635</v>
      </c>
      <c r="B1" s="728"/>
      <c r="C1" s="728"/>
      <c r="D1" s="728"/>
      <c r="E1" s="728"/>
      <c r="F1" s="728"/>
      <c r="G1" s="728"/>
      <c r="H1" s="728"/>
      <c r="I1" s="728"/>
      <c r="J1" s="728"/>
      <c r="K1" s="728"/>
      <c r="L1" s="728"/>
      <c r="M1" s="728"/>
      <c r="N1" s="728"/>
      <c r="O1" s="728"/>
      <c r="P1" s="728"/>
      <c r="Q1" s="729"/>
      <c r="R1" s="79"/>
    </row>
    <row r="2" spans="1:18" ht="15" thickBot="1">
      <c r="A2" s="730"/>
      <c r="B2" s="731"/>
      <c r="C2" s="731"/>
      <c r="D2" s="731"/>
      <c r="E2" s="731"/>
      <c r="F2" s="731"/>
      <c r="G2" s="731"/>
      <c r="H2" s="731"/>
      <c r="I2" s="731"/>
      <c r="J2" s="731"/>
      <c r="K2" s="731"/>
      <c r="L2" s="731"/>
      <c r="M2" s="731"/>
      <c r="N2" s="731"/>
      <c r="O2" s="731"/>
      <c r="P2" s="731"/>
      <c r="Q2" s="732"/>
      <c r="R2" s="79"/>
    </row>
    <row r="3" spans="1:18" ht="21.5" thickBot="1">
      <c r="A3" s="391"/>
      <c r="B3" s="391"/>
      <c r="C3" s="391"/>
      <c r="D3" s="391"/>
      <c r="E3" s="391"/>
      <c r="F3" s="391"/>
      <c r="G3" s="391"/>
      <c r="H3" s="391"/>
      <c r="I3" s="391"/>
      <c r="J3" s="391"/>
      <c r="K3" s="391"/>
      <c r="L3" s="391"/>
      <c r="M3" s="391"/>
      <c r="N3" s="391"/>
      <c r="O3" s="391"/>
      <c r="P3" s="391"/>
      <c r="Q3" s="391"/>
      <c r="R3" s="79"/>
    </row>
    <row r="4" spans="1:18" ht="21.5" thickBot="1">
      <c r="A4" s="789" t="s">
        <v>2636</v>
      </c>
      <c r="B4" s="790"/>
      <c r="C4" s="391"/>
      <c r="D4" s="789" t="s">
        <v>2637</v>
      </c>
      <c r="E4" s="791"/>
      <c r="F4" s="791"/>
      <c r="G4" s="791"/>
      <c r="H4" s="791"/>
      <c r="I4" s="791"/>
      <c r="J4" s="791"/>
      <c r="K4" s="790"/>
      <c r="L4" s="391"/>
      <c r="M4" s="391"/>
      <c r="N4" s="391"/>
      <c r="O4" s="391"/>
      <c r="P4" s="391"/>
      <c r="Q4" s="391"/>
      <c r="R4" s="79"/>
    </row>
    <row r="5" spans="1:18" ht="15" thickBot="1">
      <c r="A5" s="79"/>
      <c r="B5" s="79"/>
      <c r="C5" s="79"/>
      <c r="D5" s="79"/>
      <c r="E5" s="79"/>
      <c r="F5" s="79"/>
      <c r="G5" s="79"/>
      <c r="H5" s="79"/>
      <c r="I5" s="79"/>
      <c r="J5" s="79"/>
      <c r="K5" s="79"/>
      <c r="L5" s="79"/>
      <c r="M5" s="79"/>
      <c r="N5" s="79"/>
      <c r="O5" s="79"/>
      <c r="P5" s="79"/>
      <c r="Q5" s="79"/>
      <c r="R5" s="79"/>
    </row>
    <row r="6" spans="1:18">
      <c r="A6" s="81" t="s">
        <v>2638</v>
      </c>
      <c r="B6" s="82">
        <f>SUM('ESTADO DE RESULTADOS'!C20:C23)</f>
        <v>352422092.14777768</v>
      </c>
      <c r="C6" s="79"/>
      <c r="D6" s="769" t="s">
        <v>2639</v>
      </c>
      <c r="E6" s="680"/>
      <c r="F6" s="681"/>
      <c r="G6" s="501">
        <f>IF(B6=0,0,IF(B7&gt;B6,"NO ES VIABLE",B8/(100%-(B7/B6))))</f>
        <v>54087809.942022614</v>
      </c>
      <c r="H6" s="502"/>
      <c r="I6" s="772" t="s">
        <v>2640</v>
      </c>
      <c r="J6" s="773"/>
      <c r="K6" s="774"/>
      <c r="L6" s="79"/>
      <c r="M6" s="79"/>
      <c r="N6" s="79"/>
      <c r="O6" s="79"/>
      <c r="P6" s="79"/>
      <c r="Q6" s="79"/>
      <c r="R6" s="79"/>
    </row>
    <row r="7" spans="1:18">
      <c r="A7" s="83" t="s">
        <v>2641</v>
      </c>
      <c r="B7" s="84">
        <f>'ESTADO DE RESULTADOS'!C26</f>
        <v>111435992</v>
      </c>
      <c r="C7" s="79"/>
      <c r="D7" s="682"/>
      <c r="E7" s="683"/>
      <c r="F7" s="684"/>
      <c r="G7" s="770"/>
      <c r="H7" s="771"/>
      <c r="I7" s="775"/>
      <c r="J7" s="776"/>
      <c r="K7" s="777"/>
      <c r="L7" s="79"/>
      <c r="M7" s="79"/>
      <c r="N7" s="79"/>
      <c r="O7" s="79"/>
      <c r="P7" s="79"/>
      <c r="Q7" s="79"/>
      <c r="R7" s="79"/>
    </row>
    <row r="8" spans="1:18" ht="15" thickBot="1">
      <c r="A8" s="103" t="s">
        <v>2642</v>
      </c>
      <c r="B8" s="258">
        <f>'ESTADO DE RESULTADOS'!C27+'ESTADO DE RESULTADOS'!C28+'ESTADO DE RESULTADOS'!C29</f>
        <v>36985225.029526912</v>
      </c>
      <c r="C8" s="79"/>
      <c r="D8" s="685"/>
      <c r="E8" s="686"/>
      <c r="F8" s="687"/>
      <c r="G8" s="503"/>
      <c r="H8" s="504"/>
      <c r="I8" s="778"/>
      <c r="J8" s="779"/>
      <c r="K8" s="780"/>
      <c r="L8" s="79"/>
      <c r="M8" s="79"/>
      <c r="N8" s="79"/>
      <c r="O8" s="79"/>
      <c r="P8" s="79"/>
      <c r="Q8" s="79"/>
      <c r="R8" s="79"/>
    </row>
    <row r="9" spans="1:18" ht="15" thickBot="1">
      <c r="A9" s="79"/>
      <c r="B9" s="79"/>
      <c r="C9" s="79"/>
      <c r="D9" s="79"/>
      <c r="E9" s="79"/>
      <c r="F9" s="79"/>
      <c r="G9" s="79"/>
      <c r="H9" s="79"/>
      <c r="I9" s="79"/>
      <c r="J9" s="79"/>
      <c r="K9" s="79"/>
      <c r="L9" s="79"/>
      <c r="M9" s="79"/>
      <c r="N9" s="79"/>
      <c r="O9" s="79"/>
      <c r="P9" s="79"/>
      <c r="Q9" s="79"/>
      <c r="R9" s="79"/>
    </row>
    <row r="10" spans="1:18" ht="19" thickBot="1">
      <c r="A10" s="79"/>
      <c r="B10" s="79"/>
      <c r="C10" s="79"/>
      <c r="D10" s="781" t="s">
        <v>2643</v>
      </c>
      <c r="E10" s="782"/>
      <c r="F10" s="783"/>
      <c r="G10" s="784">
        <f>IF(B6=0,0,IF(B7&gt;B6,"NO ES VIABLE",IF('ESTADO DE RESULTADOS'!C20&gt;0,'ESTADO DE RESULTADOS'!C20/('ESTADO DE RESULTADOS'!B7*12),IF('ESTADO DE RESULTADOS'!C21&gt;0,'ESTADO DE RESULTADOS'!C21/('ESTADO DE RESULTADOS'!B5*12),'ESTADO DE RESULTADOS'!C22/('ESTADO DE RESULTADOS'!B5*12)))))</f>
        <v>699.25018283289216</v>
      </c>
      <c r="H10" s="785"/>
      <c r="I10" s="786" t="s">
        <v>2644</v>
      </c>
      <c r="J10" s="787"/>
      <c r="K10" s="788"/>
      <c r="L10" s="796" t="s">
        <v>2645</v>
      </c>
      <c r="M10" s="797"/>
      <c r="N10" s="798"/>
      <c r="O10" s="79"/>
      <c r="P10" s="79"/>
      <c r="Q10" s="79"/>
      <c r="R10" s="79"/>
    </row>
    <row r="11" spans="1:18" ht="15" thickBot="1">
      <c r="A11" s="79"/>
      <c r="B11" s="79"/>
      <c r="C11" s="79"/>
      <c r="D11" s="79"/>
      <c r="E11" s="79"/>
      <c r="F11" s="79"/>
      <c r="G11" s="79"/>
      <c r="H11" s="79"/>
      <c r="I11" s="79"/>
      <c r="J11" s="79"/>
      <c r="K11" s="79"/>
      <c r="L11" s="79"/>
      <c r="M11" s="79"/>
      <c r="N11" s="79"/>
      <c r="O11" s="79"/>
      <c r="P11" s="79"/>
      <c r="Q11" s="79"/>
      <c r="R11" s="79"/>
    </row>
    <row r="12" spans="1:18">
      <c r="A12" s="81" t="s">
        <v>2646</v>
      </c>
      <c r="B12" s="82">
        <f>'ESTADO DE RESULTADOS'!C25</f>
        <v>352422092.14777768</v>
      </c>
      <c r="C12" s="79"/>
      <c r="D12" s="769" t="s">
        <v>2647</v>
      </c>
      <c r="E12" s="680"/>
      <c r="F12" s="681"/>
      <c r="G12" s="501">
        <f>IF(B12=0,0,B14/(100%-(B13/B12)))</f>
        <v>54087809.942022614</v>
      </c>
      <c r="H12" s="502"/>
      <c r="I12" s="772" t="s">
        <v>2648</v>
      </c>
      <c r="J12" s="773"/>
      <c r="K12" s="774"/>
      <c r="L12" s="79"/>
      <c r="M12" s="79"/>
      <c r="N12" s="79"/>
      <c r="O12" s="79"/>
      <c r="P12" s="79"/>
      <c r="Q12" s="79"/>
      <c r="R12" s="79"/>
    </row>
    <row r="13" spans="1:18">
      <c r="A13" s="83" t="s">
        <v>2649</v>
      </c>
      <c r="B13" s="84">
        <f>'ESTADO DE RESULTADOS'!C26+'OTRAS ACTIVIDADES ECONÓMICAS'!$B$6*12</f>
        <v>111435992</v>
      </c>
      <c r="C13" s="79"/>
      <c r="D13" s="682"/>
      <c r="E13" s="683"/>
      <c r="F13" s="684"/>
      <c r="G13" s="770"/>
      <c r="H13" s="771"/>
      <c r="I13" s="775"/>
      <c r="J13" s="776"/>
      <c r="K13" s="777"/>
      <c r="L13" s="79"/>
      <c r="M13" s="79"/>
      <c r="N13" s="79"/>
      <c r="O13" s="79"/>
      <c r="P13" s="79"/>
      <c r="Q13" s="79"/>
      <c r="R13" s="79"/>
    </row>
    <row r="14" spans="1:18" ht="15" thickBot="1">
      <c r="A14" s="103" t="s">
        <v>2650</v>
      </c>
      <c r="B14" s="258">
        <f>'ESTADO DE RESULTADOS'!C27+'ESTADO DE RESULTADOS'!C28+'ESTADO DE RESULTADOS'!C29+'OTRAS ACTIVIDADES ECONÓMICAS'!$B$5*12</f>
        <v>36985225.029526912</v>
      </c>
      <c r="C14" s="79"/>
      <c r="D14" s="685"/>
      <c r="E14" s="686"/>
      <c r="F14" s="687"/>
      <c r="G14" s="503"/>
      <c r="H14" s="504"/>
      <c r="I14" s="778"/>
      <c r="J14" s="779"/>
      <c r="K14" s="780"/>
      <c r="L14" s="79"/>
      <c r="M14" s="79"/>
      <c r="N14" s="79"/>
      <c r="O14" s="79"/>
      <c r="P14" s="79"/>
      <c r="Q14" s="79"/>
      <c r="R14" s="79"/>
    </row>
    <row r="15" spans="1:18" ht="15" thickBot="1">
      <c r="A15" s="79"/>
      <c r="B15" s="79"/>
      <c r="C15" s="79"/>
      <c r="D15" s="79"/>
      <c r="E15" s="79"/>
      <c r="F15" s="79"/>
      <c r="G15" s="79"/>
      <c r="H15" s="79"/>
      <c r="I15" s="79"/>
      <c r="J15" s="79"/>
      <c r="K15" s="79"/>
      <c r="L15" s="79"/>
      <c r="M15" s="79"/>
      <c r="N15" s="79"/>
      <c r="O15" s="79"/>
      <c r="P15" s="79"/>
      <c r="Q15" s="79"/>
      <c r="R15" s="79"/>
    </row>
    <row r="16" spans="1:18" ht="14.5" customHeight="1">
      <c r="A16" s="81" t="s">
        <v>2651</v>
      </c>
      <c r="B16" s="392">
        <f>'INDICADORES DEL PROYECTO'!D18</f>
        <v>0.62138757355073237</v>
      </c>
      <c r="C16" s="79"/>
      <c r="D16" s="697" t="str">
        <f>IF(B17&lt;0,"Su proyecto no es viable financieramente con los datos suminstrados, para mejorar esto debe tener una menor inversión, mejor utilidad y una tasa del inversionista más baja.","Su proyecto con los datos ingresados en viable y sostenible en el tiempo, es el momento de arrancar todo para que este escenario planteado en el modelo se haga realidad.")</f>
        <v>Su proyecto con los datos ingresados en viable y sostenible en el tiempo, es el momento de arrancar todo para que este escenario planteado en el modelo se haga realidad.</v>
      </c>
      <c r="E16" s="698"/>
      <c r="F16" s="698"/>
      <c r="G16" s="698"/>
      <c r="H16" s="698"/>
      <c r="I16" s="698"/>
      <c r="J16" s="698"/>
      <c r="K16" s="699"/>
      <c r="L16" s="79"/>
      <c r="M16" s="79"/>
      <c r="N16" s="79"/>
      <c r="O16" s="79"/>
      <c r="P16" s="79"/>
      <c r="Q16" s="79"/>
      <c r="R16" s="79"/>
    </row>
    <row r="17" spans="1:18" ht="14.5" customHeight="1" thickBot="1">
      <c r="A17" s="103" t="s">
        <v>2652</v>
      </c>
      <c r="B17" s="337">
        <f>IF(B12=0,0,NPV(WACC!B23,'INDICADORES DEL PROYECTO'!D13:M13)+'INDICADORES DEL PROYECTO'!C13)</f>
        <v>639374355.67056179</v>
      </c>
      <c r="C17" s="79"/>
      <c r="D17" s="700"/>
      <c r="E17" s="701"/>
      <c r="F17" s="701"/>
      <c r="G17" s="701"/>
      <c r="H17" s="701"/>
      <c r="I17" s="701"/>
      <c r="J17" s="701"/>
      <c r="K17" s="702"/>
      <c r="L17" s="79"/>
      <c r="M17" s="79"/>
      <c r="N17" s="79"/>
      <c r="O17" s="79"/>
      <c r="P17" s="79"/>
      <c r="Q17" s="79"/>
      <c r="R17" s="79"/>
    </row>
    <row r="18" spans="1:18" ht="14.5" customHeight="1" thickBot="1">
      <c r="A18" s="79"/>
      <c r="B18" s="79"/>
      <c r="C18" s="79"/>
      <c r="D18" s="700"/>
      <c r="E18" s="701"/>
      <c r="F18" s="701"/>
      <c r="G18" s="701"/>
      <c r="H18" s="701"/>
      <c r="I18" s="701"/>
      <c r="J18" s="701"/>
      <c r="K18" s="702"/>
      <c r="L18" s="79"/>
      <c r="M18" s="79"/>
      <c r="N18" s="79"/>
      <c r="O18" s="79"/>
      <c r="P18" s="79"/>
      <c r="Q18" s="79"/>
      <c r="R18" s="79"/>
    </row>
    <row r="19" spans="1:18" ht="14.5" customHeight="1">
      <c r="A19" s="792" t="s">
        <v>2653</v>
      </c>
      <c r="B19" s="793"/>
      <c r="C19" s="79"/>
      <c r="D19" s="700"/>
      <c r="E19" s="701"/>
      <c r="F19" s="701"/>
      <c r="G19" s="701"/>
      <c r="H19" s="701"/>
      <c r="I19" s="701"/>
      <c r="J19" s="701"/>
      <c r="K19" s="702"/>
      <c r="L19" s="79"/>
      <c r="M19" s="79"/>
      <c r="N19" s="79"/>
      <c r="O19" s="79"/>
      <c r="P19" s="79"/>
      <c r="Q19" s="79"/>
      <c r="R19" s="79"/>
    </row>
    <row r="20" spans="1:18" ht="14.5" customHeight="1" thickBot="1">
      <c r="A20" s="794"/>
      <c r="B20" s="795"/>
      <c r="C20" s="79"/>
      <c r="D20" s="703"/>
      <c r="E20" s="704"/>
      <c r="F20" s="704"/>
      <c r="G20" s="704"/>
      <c r="H20" s="704"/>
      <c r="I20" s="704"/>
      <c r="J20" s="704"/>
      <c r="K20" s="705"/>
      <c r="L20" s="79"/>
      <c r="M20" s="79"/>
      <c r="N20" s="79"/>
      <c r="O20" s="79"/>
      <c r="P20" s="79"/>
      <c r="Q20" s="79"/>
      <c r="R20" s="79"/>
    </row>
    <row r="21" spans="1:18">
      <c r="A21" s="79"/>
      <c r="B21" s="79"/>
      <c r="C21" s="79"/>
      <c r="D21" s="79"/>
      <c r="E21" s="79"/>
      <c r="F21" s="79"/>
      <c r="G21" s="79"/>
      <c r="H21" s="79"/>
      <c r="I21" s="79"/>
      <c r="J21" s="79"/>
      <c r="K21" s="79"/>
      <c r="L21" s="79"/>
      <c r="M21" s="79"/>
      <c r="N21" s="79"/>
      <c r="O21" s="79"/>
      <c r="P21" s="79"/>
      <c r="Q21" s="79"/>
      <c r="R21" s="79"/>
    </row>
    <row r="22" spans="1:18">
      <c r="A22" s="79"/>
      <c r="B22" s="79"/>
      <c r="C22" s="79"/>
      <c r="D22" s="79"/>
      <c r="E22" s="79"/>
      <c r="F22" s="79"/>
      <c r="G22" s="79"/>
      <c r="H22" s="79"/>
      <c r="I22" s="79"/>
      <c r="J22" s="79"/>
      <c r="K22" s="79"/>
      <c r="L22" s="79"/>
      <c r="M22" s="79"/>
      <c r="N22" s="79"/>
      <c r="O22" s="79"/>
      <c r="P22" s="79"/>
      <c r="Q22" s="79"/>
      <c r="R22" s="79"/>
    </row>
    <row r="23" spans="1:18">
      <c r="A23" s="79"/>
      <c r="B23" s="79"/>
      <c r="C23" s="79"/>
      <c r="D23" s="79"/>
      <c r="E23" s="79"/>
      <c r="F23" s="79"/>
      <c r="G23" s="79"/>
      <c r="H23" s="79"/>
      <c r="I23" s="79"/>
      <c r="J23" s="79"/>
      <c r="K23" s="79"/>
      <c r="L23" s="79"/>
      <c r="M23" s="79"/>
      <c r="N23" s="79"/>
      <c r="O23" s="79"/>
      <c r="P23" s="79"/>
      <c r="Q23" s="79"/>
      <c r="R23" s="79"/>
    </row>
    <row r="24" spans="1:18">
      <c r="A24" s="79"/>
      <c r="B24" s="79"/>
      <c r="C24" s="79"/>
      <c r="D24" s="79"/>
      <c r="E24" s="79"/>
      <c r="F24" s="79"/>
      <c r="G24" s="79"/>
      <c r="H24" s="79"/>
      <c r="I24" s="79"/>
      <c r="J24" s="79"/>
      <c r="K24" s="79"/>
      <c r="L24" s="79"/>
      <c r="M24" s="79"/>
      <c r="N24" s="79"/>
      <c r="O24" s="79"/>
      <c r="P24" s="79"/>
      <c r="Q24" s="79"/>
      <c r="R24" s="79"/>
    </row>
    <row r="25" spans="1:18">
      <c r="A25" s="79"/>
      <c r="B25" s="79"/>
      <c r="C25" s="79"/>
      <c r="D25" s="79"/>
      <c r="E25" s="79"/>
      <c r="F25" s="79"/>
      <c r="G25" s="79"/>
      <c r="H25" s="79"/>
      <c r="I25" s="79"/>
      <c r="J25" s="79"/>
      <c r="K25" s="79"/>
      <c r="L25" s="79"/>
      <c r="M25" s="79"/>
      <c r="N25" s="79"/>
      <c r="O25" s="79"/>
      <c r="P25" s="79"/>
      <c r="Q25" s="79"/>
      <c r="R25" s="79"/>
    </row>
    <row r="26" spans="1:18">
      <c r="A26" s="79"/>
      <c r="B26" s="79"/>
      <c r="C26" s="79"/>
      <c r="D26" s="79"/>
      <c r="E26" s="79"/>
      <c r="F26" s="79"/>
      <c r="G26" s="79"/>
      <c r="H26" s="79"/>
      <c r="I26" s="79"/>
      <c r="J26" s="79"/>
      <c r="K26" s="79"/>
      <c r="L26" s="79"/>
      <c r="M26" s="79"/>
      <c r="N26" s="79"/>
      <c r="O26" s="79"/>
      <c r="P26" s="79"/>
      <c r="Q26" s="79"/>
      <c r="R26" s="79"/>
    </row>
    <row r="27" spans="1:18">
      <c r="A27" s="79"/>
      <c r="B27" s="79"/>
      <c r="C27" s="79"/>
      <c r="D27" s="79"/>
      <c r="E27" s="79"/>
      <c r="F27" s="79"/>
      <c r="G27" s="79"/>
      <c r="H27" s="79"/>
      <c r="I27" s="79"/>
      <c r="J27" s="79"/>
      <c r="K27" s="79"/>
      <c r="L27" s="79"/>
      <c r="M27" s="79"/>
      <c r="N27" s="79"/>
      <c r="O27" s="79"/>
      <c r="P27" s="79"/>
      <c r="Q27" s="79"/>
      <c r="R27" s="79"/>
    </row>
    <row r="28" spans="1:18">
      <c r="A28" s="79"/>
      <c r="B28" s="79"/>
      <c r="C28" s="79"/>
      <c r="D28" s="79"/>
      <c r="E28" s="79"/>
      <c r="F28" s="79"/>
      <c r="G28" s="79"/>
      <c r="H28" s="79"/>
      <c r="I28" s="79"/>
      <c r="J28" s="79"/>
      <c r="K28" s="79"/>
      <c r="L28" s="79"/>
      <c r="M28" s="79"/>
      <c r="N28" s="79"/>
      <c r="O28" s="79"/>
      <c r="P28" s="79"/>
      <c r="Q28" s="79"/>
      <c r="R28" s="79"/>
    </row>
    <row r="29" spans="1:18">
      <c r="A29" s="79"/>
      <c r="B29" s="79"/>
      <c r="C29" s="79"/>
      <c r="D29" s="79"/>
      <c r="E29" s="79"/>
      <c r="F29" s="79"/>
      <c r="G29" s="79"/>
      <c r="H29" s="79"/>
      <c r="I29" s="79"/>
      <c r="J29" s="79"/>
      <c r="K29" s="79"/>
      <c r="L29" s="79"/>
      <c r="M29" s="79"/>
      <c r="N29" s="79"/>
      <c r="O29" s="79"/>
      <c r="P29" s="79"/>
      <c r="Q29" s="79"/>
      <c r="R29" s="79"/>
    </row>
    <row r="30" spans="1:18">
      <c r="A30" s="79"/>
      <c r="B30" s="79"/>
      <c r="C30" s="79"/>
      <c r="D30" s="79"/>
      <c r="E30" s="79"/>
      <c r="F30" s="79"/>
      <c r="G30" s="79"/>
      <c r="H30" s="79"/>
      <c r="I30" s="79"/>
      <c r="J30" s="79"/>
      <c r="K30" s="79"/>
      <c r="L30" s="79"/>
      <c r="M30" s="79"/>
      <c r="N30" s="79"/>
      <c r="O30" s="79"/>
      <c r="P30" s="79"/>
      <c r="Q30" s="79"/>
      <c r="R30" s="79"/>
    </row>
    <row r="31" spans="1:18">
      <c r="A31" s="79"/>
      <c r="B31" s="79"/>
      <c r="C31" s="79"/>
      <c r="D31" s="79"/>
      <c r="E31" s="79"/>
      <c r="F31" s="79"/>
      <c r="G31" s="79"/>
      <c r="H31" s="79"/>
      <c r="I31" s="79"/>
      <c r="J31" s="79"/>
      <c r="K31" s="79"/>
      <c r="L31" s="79"/>
      <c r="M31" s="79"/>
      <c r="N31" s="79"/>
      <c r="O31" s="79"/>
      <c r="P31" s="79"/>
      <c r="Q31" s="79"/>
      <c r="R31" s="79"/>
    </row>
    <row r="32" spans="1:18">
      <c r="A32" s="79"/>
      <c r="B32" s="79"/>
      <c r="C32" s="79"/>
      <c r="D32" s="79"/>
      <c r="E32" s="79"/>
      <c r="F32" s="79"/>
      <c r="G32" s="79"/>
      <c r="H32" s="79"/>
      <c r="I32" s="79"/>
      <c r="J32" s="79"/>
      <c r="K32" s="79"/>
      <c r="L32" s="79"/>
      <c r="M32" s="79"/>
      <c r="N32" s="79"/>
      <c r="O32" s="79"/>
      <c r="P32" s="79"/>
      <c r="Q32" s="79"/>
      <c r="R32" s="79"/>
    </row>
    <row r="33" spans="1:18">
      <c r="A33" s="79"/>
      <c r="B33" s="79"/>
      <c r="C33" s="79"/>
      <c r="D33" s="79"/>
      <c r="E33" s="79"/>
      <c r="F33" s="79"/>
      <c r="G33" s="79"/>
      <c r="H33" s="79"/>
      <c r="I33" s="79"/>
      <c r="J33" s="79"/>
      <c r="K33" s="79"/>
      <c r="L33" s="79"/>
      <c r="M33" s="79"/>
      <c r="N33" s="79"/>
      <c r="O33" s="79"/>
      <c r="P33" s="79"/>
      <c r="Q33" s="79"/>
      <c r="R33" s="79"/>
    </row>
    <row r="34" spans="1:18">
      <c r="A34" s="79"/>
      <c r="B34" s="79"/>
      <c r="C34" s="79"/>
      <c r="D34" s="79"/>
      <c r="E34" s="79"/>
      <c r="F34" s="79"/>
      <c r="G34" s="79"/>
      <c r="H34" s="79"/>
      <c r="I34" s="79"/>
      <c r="J34" s="79"/>
      <c r="K34" s="79"/>
      <c r="L34" s="79"/>
      <c r="M34" s="79"/>
      <c r="N34" s="79"/>
      <c r="O34" s="79"/>
      <c r="P34" s="79"/>
      <c r="Q34" s="79"/>
      <c r="R34" s="79"/>
    </row>
    <row r="35" spans="1:18">
      <c r="A35" s="79"/>
      <c r="B35" s="79"/>
      <c r="C35" s="79"/>
      <c r="D35" s="79"/>
      <c r="E35" s="79"/>
      <c r="F35" s="79"/>
      <c r="G35" s="79"/>
      <c r="H35" s="79"/>
      <c r="I35" s="79"/>
      <c r="J35" s="79"/>
      <c r="K35" s="79"/>
      <c r="L35" s="79"/>
      <c r="M35" s="79"/>
      <c r="N35" s="79"/>
      <c r="O35" s="79"/>
      <c r="P35" s="79"/>
      <c r="Q35" s="79"/>
      <c r="R35" s="79"/>
    </row>
    <row r="36" spans="1:18">
      <c r="A36" s="79"/>
      <c r="B36" s="79"/>
      <c r="C36" s="79"/>
      <c r="D36" s="79"/>
      <c r="E36" s="79"/>
      <c r="F36" s="79"/>
      <c r="G36" s="79"/>
      <c r="H36" s="79"/>
      <c r="I36" s="79"/>
      <c r="J36" s="79"/>
      <c r="K36" s="79"/>
      <c r="L36" s="79"/>
      <c r="M36" s="79"/>
      <c r="N36" s="79"/>
      <c r="O36" s="79"/>
      <c r="P36" s="79"/>
      <c r="Q36" s="79"/>
      <c r="R36" s="79"/>
    </row>
  </sheetData>
  <mergeCells count="15">
    <mergeCell ref="D16:K20"/>
    <mergeCell ref="A1:Q2"/>
    <mergeCell ref="D6:F8"/>
    <mergeCell ref="D12:F14"/>
    <mergeCell ref="G6:H8"/>
    <mergeCell ref="G12:H14"/>
    <mergeCell ref="I6:K8"/>
    <mergeCell ref="I12:K14"/>
    <mergeCell ref="D10:F10"/>
    <mergeCell ref="G10:H10"/>
    <mergeCell ref="I10:K10"/>
    <mergeCell ref="A4:B4"/>
    <mergeCell ref="D4:K4"/>
    <mergeCell ref="A19:B20"/>
    <mergeCell ref="L10:N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46C6-2B00-4BED-A05C-7153C0530546}">
  <dimension ref="A1:P32"/>
  <sheetViews>
    <sheetView showGridLines="0" showRowColHeaders="0" workbookViewId="0">
      <selection sqref="A1:O2"/>
    </sheetView>
  </sheetViews>
  <sheetFormatPr baseColWidth="10" defaultColWidth="11.453125" defaultRowHeight="14.5"/>
  <cols>
    <col min="1" max="1" width="3.26953125" customWidth="1"/>
    <col min="2" max="2" width="19.81640625" bestFit="1" customWidth="1"/>
    <col min="3" max="13" width="14" customWidth="1"/>
  </cols>
  <sheetData>
    <row r="1" spans="1:16">
      <c r="A1" s="727" t="s">
        <v>2654</v>
      </c>
      <c r="B1" s="728"/>
      <c r="C1" s="728"/>
      <c r="D1" s="728"/>
      <c r="E1" s="728"/>
      <c r="F1" s="728"/>
      <c r="G1" s="728"/>
      <c r="H1" s="728"/>
      <c r="I1" s="728"/>
      <c r="J1" s="728"/>
      <c r="K1" s="728"/>
      <c r="L1" s="728"/>
      <c r="M1" s="728"/>
      <c r="N1" s="728"/>
      <c r="O1" s="729"/>
      <c r="P1" s="79"/>
    </row>
    <row r="2" spans="1:16" ht="15" thickBot="1">
      <c r="A2" s="730"/>
      <c r="B2" s="731"/>
      <c r="C2" s="731"/>
      <c r="D2" s="731"/>
      <c r="E2" s="731"/>
      <c r="F2" s="731"/>
      <c r="G2" s="731"/>
      <c r="H2" s="731"/>
      <c r="I2" s="731"/>
      <c r="J2" s="731"/>
      <c r="K2" s="731"/>
      <c r="L2" s="731"/>
      <c r="M2" s="731"/>
      <c r="N2" s="731"/>
      <c r="O2" s="732"/>
      <c r="P2" s="79"/>
    </row>
    <row r="3" spans="1:16" ht="15" thickBot="1">
      <c r="A3" s="79"/>
      <c r="B3" s="79"/>
      <c r="C3" s="79"/>
      <c r="D3" s="79"/>
      <c r="E3" s="79"/>
      <c r="F3" s="79"/>
      <c r="G3" s="79"/>
      <c r="H3" s="79"/>
      <c r="I3" s="79"/>
      <c r="J3" s="79"/>
      <c r="K3" s="79"/>
      <c r="L3" s="79"/>
      <c r="M3" s="79"/>
      <c r="N3" s="79"/>
      <c r="O3" s="79"/>
      <c r="P3" s="79"/>
    </row>
    <row r="4" spans="1:16">
      <c r="A4" s="79"/>
      <c r="B4" s="245" t="s">
        <v>2655</v>
      </c>
      <c r="C4" s="246" t="s">
        <v>2590</v>
      </c>
      <c r="D4" s="246" t="s">
        <v>2265</v>
      </c>
      <c r="E4" s="246" t="s">
        <v>2266</v>
      </c>
      <c r="F4" s="246" t="s">
        <v>2267</v>
      </c>
      <c r="G4" s="246" t="s">
        <v>2268</v>
      </c>
      <c r="H4" s="246" t="s">
        <v>2269</v>
      </c>
      <c r="I4" s="246" t="s">
        <v>2270</v>
      </c>
      <c r="J4" s="246" t="s">
        <v>2271</v>
      </c>
      <c r="K4" s="246" t="s">
        <v>2272</v>
      </c>
      <c r="L4" s="246" t="s">
        <v>2273</v>
      </c>
      <c r="M4" s="247" t="s">
        <v>2274</v>
      </c>
      <c r="N4" s="79"/>
      <c r="O4" s="79"/>
      <c r="P4" s="79"/>
    </row>
    <row r="5" spans="1:16">
      <c r="A5" s="79"/>
      <c r="B5" s="83" t="str">
        <f>'ESTADO DE RESULTADOS'!A34</f>
        <v>Utilidad Operativa</v>
      </c>
      <c r="C5" s="263">
        <f>'ESTADO DE RESULTADOS'!B34</f>
        <v>0</v>
      </c>
      <c r="D5" s="263">
        <f>'ESTADO DE RESULTADOS'!C34</f>
        <v>168452698.86084676</v>
      </c>
      <c r="E5" s="263">
        <f>'ESTADO DE RESULTADOS'!D34</f>
        <v>179962562.93756557</v>
      </c>
      <c r="F5" s="263">
        <f>'ESTADO DE RESULTADOS'!E34</f>
        <v>191964296.52825081</v>
      </c>
      <c r="G5" s="263">
        <f>'ESTADO DE RESULTADOS'!F34</f>
        <v>204471942.93690181</v>
      </c>
      <c r="H5" s="263">
        <f>'ESTADO DE RESULTADOS'!G34</f>
        <v>217499175.86266753</v>
      </c>
      <c r="I5" s="263">
        <f>'ESTADO DE RESULTADOS'!H34</f>
        <v>231059181.74037805</v>
      </c>
      <c r="J5" s="263">
        <f>'ESTADO DE RESULTADOS'!I34</f>
        <v>245164527.47094437</v>
      </c>
      <c r="K5" s="263">
        <f>'ESTADO DE RESULTADOS'!J34</f>
        <v>259827012.06617054</v>
      </c>
      <c r="L5" s="263">
        <f>'ESTADO DE RESULTADOS'!K34</f>
        <v>275057500.59639609</v>
      </c>
      <c r="M5" s="84">
        <f>'ESTADO DE RESULTADOS'!L34</f>
        <v>290865738.68129611</v>
      </c>
      <c r="N5" s="79"/>
      <c r="O5" s="79"/>
      <c r="P5" s="79"/>
    </row>
    <row r="6" spans="1:16">
      <c r="A6" s="79"/>
      <c r="B6" s="83" t="s">
        <v>2656</v>
      </c>
      <c r="C6" s="194"/>
      <c r="D6" s="259">
        <f>IF(DATOS!$B$71="COMERCIAL",IF(D5&gt;0,D5*35%,0),0)</f>
        <v>0</v>
      </c>
      <c r="E6" s="259">
        <f>IF(DATOS!$B$71="COMERCIAL",IF(E5&gt;0,E5*35%,0),0)</f>
        <v>0</v>
      </c>
      <c r="F6" s="259">
        <f>IF(DATOS!$B$71="COMERCIAL",IF(F5&gt;0,F5*35%,0),0)</f>
        <v>0</v>
      </c>
      <c r="G6" s="259">
        <f>IF(DATOS!$B$71="COMERCIAL",IF(G5&gt;0,G5*35%,0),0)</f>
        <v>0</v>
      </c>
      <c r="H6" s="259">
        <f>IF(DATOS!$B$71="COMERCIAL",IF(H5&gt;0,H5*35%,0),0)</f>
        <v>0</v>
      </c>
      <c r="I6" s="259">
        <f>IF(DATOS!$B$71="COMERCIAL",IF(I5&gt;0,I5*35%,0),0)</f>
        <v>0</v>
      </c>
      <c r="J6" s="259">
        <f>IF(DATOS!$B$71="COMERCIAL",IF(J5&gt;0,J5*35%,0),0)</f>
        <v>0</v>
      </c>
      <c r="K6" s="259">
        <f>IF(DATOS!$B$71="COMERCIAL",IF(K5&gt;0,K5*35%,0),0)</f>
        <v>0</v>
      </c>
      <c r="L6" s="259">
        <f>IF(DATOS!$B$71="COMERCIAL",IF(L5&gt;0,L5*35%,0),0)</f>
        <v>0</v>
      </c>
      <c r="M6" s="100">
        <f>IF(DATOS!$B$71="COMERCIAL",IF(M5&gt;0,M5*35%,0),0)</f>
        <v>0</v>
      </c>
      <c r="N6" s="79"/>
      <c r="O6" s="79"/>
      <c r="P6" s="79"/>
    </row>
    <row r="7" spans="1:16">
      <c r="A7" s="79"/>
      <c r="B7" s="83" t="s">
        <v>2657</v>
      </c>
      <c r="C7" s="194"/>
      <c r="D7" s="259">
        <f t="shared" ref="D7:M7" si="0">D5-D6</f>
        <v>168452698.86084676</v>
      </c>
      <c r="E7" s="259">
        <f t="shared" si="0"/>
        <v>179962562.93756557</v>
      </c>
      <c r="F7" s="259">
        <f t="shared" si="0"/>
        <v>191964296.52825081</v>
      </c>
      <c r="G7" s="259">
        <f t="shared" si="0"/>
        <v>204471942.93690181</v>
      </c>
      <c r="H7" s="259">
        <f t="shared" si="0"/>
        <v>217499175.86266753</v>
      </c>
      <c r="I7" s="259">
        <f t="shared" si="0"/>
        <v>231059181.74037805</v>
      </c>
      <c r="J7" s="259">
        <f t="shared" si="0"/>
        <v>245164527.47094437</v>
      </c>
      <c r="K7" s="259">
        <f t="shared" si="0"/>
        <v>259827012.06617054</v>
      </c>
      <c r="L7" s="259">
        <f t="shared" si="0"/>
        <v>275057500.59639609</v>
      </c>
      <c r="M7" s="100">
        <f t="shared" si="0"/>
        <v>290865738.68129611</v>
      </c>
      <c r="N7" s="79"/>
      <c r="O7" s="79"/>
      <c r="P7" s="79"/>
    </row>
    <row r="8" spans="1:16">
      <c r="A8" s="79"/>
      <c r="B8" s="83" t="s">
        <v>2658</v>
      </c>
      <c r="C8" s="194"/>
      <c r="D8" s="263">
        <f>'ACTIVOS FIJOS E INTANGIBLES'!C160</f>
        <v>35548176.257404</v>
      </c>
      <c r="E8" s="263">
        <f>'ACTIVOS FIJOS E INTANGIBLES'!D160</f>
        <v>35548176.257404</v>
      </c>
      <c r="F8" s="263">
        <f>'ACTIVOS FIJOS E INTANGIBLES'!E160</f>
        <v>35548176.257404</v>
      </c>
      <c r="G8" s="263">
        <f>'ACTIVOS FIJOS E INTANGIBLES'!F160</f>
        <v>35548176.257404</v>
      </c>
      <c r="H8" s="263">
        <f>'ACTIVOS FIJOS E INTANGIBLES'!G160</f>
        <v>35548176.257404</v>
      </c>
      <c r="I8" s="263">
        <f>'ACTIVOS FIJOS E INTANGIBLES'!H160</f>
        <v>35548176.257404</v>
      </c>
      <c r="J8" s="263">
        <f>'ACTIVOS FIJOS E INTANGIBLES'!I160</f>
        <v>35548176.257404</v>
      </c>
      <c r="K8" s="263">
        <f>'ACTIVOS FIJOS E INTANGIBLES'!J160</f>
        <v>35548176.257404</v>
      </c>
      <c r="L8" s="263">
        <f>'ACTIVOS FIJOS E INTANGIBLES'!K160</f>
        <v>35548176.257404</v>
      </c>
      <c r="M8" s="84">
        <f>'ACTIVOS FIJOS E INTANGIBLES'!L160</f>
        <v>35548176.257404</v>
      </c>
      <c r="N8" s="79"/>
      <c r="O8" s="79"/>
      <c r="P8" s="79"/>
    </row>
    <row r="9" spans="1:16">
      <c r="A9" s="79"/>
      <c r="B9" s="83" t="s">
        <v>2659</v>
      </c>
      <c r="C9" s="194"/>
      <c r="D9" s="263">
        <v>0</v>
      </c>
      <c r="E9" s="263">
        <v>0</v>
      </c>
      <c r="F9" s="263">
        <v>0</v>
      </c>
      <c r="G9" s="263">
        <v>0</v>
      </c>
      <c r="H9" s="263">
        <v>0</v>
      </c>
      <c r="I9" s="263">
        <v>0</v>
      </c>
      <c r="J9" s="263">
        <v>0</v>
      </c>
      <c r="K9" s="263">
        <v>0</v>
      </c>
      <c r="L9" s="263">
        <v>0</v>
      </c>
      <c r="M9" s="84">
        <v>0</v>
      </c>
      <c r="N9" s="79"/>
      <c r="O9" s="79"/>
      <c r="P9" s="79"/>
    </row>
    <row r="10" spans="1:16">
      <c r="A10" s="79"/>
      <c r="B10" s="83" t="s">
        <v>2660</v>
      </c>
      <c r="C10" s="194"/>
      <c r="D10" s="259">
        <f t="shared" ref="D10:M10" si="1">SUM(D7:D9)</f>
        <v>204000875.11825076</v>
      </c>
      <c r="E10" s="259">
        <f t="shared" si="1"/>
        <v>215510739.19496956</v>
      </c>
      <c r="F10" s="259">
        <f t="shared" si="1"/>
        <v>227512472.78565481</v>
      </c>
      <c r="G10" s="259">
        <f t="shared" si="1"/>
        <v>240020119.19430581</v>
      </c>
      <c r="H10" s="259">
        <f t="shared" si="1"/>
        <v>253047352.12007153</v>
      </c>
      <c r="I10" s="259">
        <f t="shared" si="1"/>
        <v>266607357.99778205</v>
      </c>
      <c r="J10" s="259">
        <f t="shared" si="1"/>
        <v>280712703.72834837</v>
      </c>
      <c r="K10" s="259">
        <f t="shared" si="1"/>
        <v>295375188.32357454</v>
      </c>
      <c r="L10" s="259">
        <f t="shared" si="1"/>
        <v>310605676.85380006</v>
      </c>
      <c r="M10" s="100">
        <f t="shared" si="1"/>
        <v>326413914.93870008</v>
      </c>
      <c r="N10" s="79"/>
      <c r="O10" s="79"/>
      <c r="P10" s="79"/>
    </row>
    <row r="11" spans="1:16">
      <c r="A11" s="79"/>
      <c r="B11" s="83" t="s">
        <v>2661</v>
      </c>
      <c r="C11" s="194"/>
      <c r="D11" s="263">
        <f>(('ESTADO SITUACIÓN FINANCIERA'!$C$6-'ESTADO SITUACIÓN FINANCIERA'!$C$11)-('ESTADO SITUACIÓN FINANCIERA'!$B$6-'ESTADO SITUACIÓN FINANCIERA'!$B$11))</f>
        <v>0</v>
      </c>
      <c r="E11" s="263">
        <f>(('ESTADO SITUACIÓN FINANCIERA'!$C$6-'ESTADO SITUACIÓN FINANCIERA'!$C$11)-('ESTADO SITUACIÓN FINANCIERA'!$B$6-'ESTADO SITUACIÓN FINANCIERA'!$B$11))</f>
        <v>0</v>
      </c>
      <c r="F11" s="263">
        <f>(('ESTADO SITUACIÓN FINANCIERA'!$C$6-'ESTADO SITUACIÓN FINANCIERA'!$C$11)-('ESTADO SITUACIÓN FINANCIERA'!$B$6-'ESTADO SITUACIÓN FINANCIERA'!$B$11))</f>
        <v>0</v>
      </c>
      <c r="G11" s="263">
        <f>(('ESTADO SITUACIÓN FINANCIERA'!$C$6-'ESTADO SITUACIÓN FINANCIERA'!$C$11)-('ESTADO SITUACIÓN FINANCIERA'!$B$6-'ESTADO SITUACIÓN FINANCIERA'!$B$11))</f>
        <v>0</v>
      </c>
      <c r="H11" s="263">
        <f>(('ESTADO SITUACIÓN FINANCIERA'!$C$6-'ESTADO SITUACIÓN FINANCIERA'!$C$11)-('ESTADO SITUACIÓN FINANCIERA'!$B$6-'ESTADO SITUACIÓN FINANCIERA'!$B$11))</f>
        <v>0</v>
      </c>
      <c r="I11" s="263">
        <f>(('ESTADO SITUACIÓN FINANCIERA'!$C$6-'ESTADO SITUACIÓN FINANCIERA'!$C$11)-('ESTADO SITUACIÓN FINANCIERA'!$B$6-'ESTADO SITUACIÓN FINANCIERA'!$B$11))</f>
        <v>0</v>
      </c>
      <c r="J11" s="263">
        <f>(('ESTADO SITUACIÓN FINANCIERA'!$C$6-'ESTADO SITUACIÓN FINANCIERA'!$C$11)-('ESTADO SITUACIÓN FINANCIERA'!$B$6-'ESTADO SITUACIÓN FINANCIERA'!$B$11))</f>
        <v>0</v>
      </c>
      <c r="K11" s="263">
        <f>(('ESTADO SITUACIÓN FINANCIERA'!$C$6-'ESTADO SITUACIÓN FINANCIERA'!$C$11)-('ESTADO SITUACIÓN FINANCIERA'!$B$6-'ESTADO SITUACIÓN FINANCIERA'!$B$11))</f>
        <v>0</v>
      </c>
      <c r="L11" s="263">
        <f>(('ESTADO SITUACIÓN FINANCIERA'!$C$6-'ESTADO SITUACIÓN FINANCIERA'!$C$11)-('ESTADO SITUACIÓN FINANCIERA'!$B$6-'ESTADO SITUACIÓN FINANCIERA'!$B$11))</f>
        <v>0</v>
      </c>
      <c r="M11" s="84">
        <f>(('ESTADO SITUACIÓN FINANCIERA'!$C$6-'ESTADO SITUACIÓN FINANCIERA'!$C$11)-('ESTADO SITUACIÓN FINANCIERA'!$B$6-'ESTADO SITUACIÓN FINANCIERA'!$B$11))</f>
        <v>0</v>
      </c>
      <c r="N11" s="79"/>
      <c r="O11" s="79"/>
      <c r="P11" s="79"/>
    </row>
    <row r="12" spans="1:16">
      <c r="A12" s="79"/>
      <c r="B12" s="83" t="s">
        <v>2662</v>
      </c>
      <c r="C12" s="194"/>
      <c r="D12" s="263">
        <f>('ACTIVOS FIJOS E INTANGIBLES'!C159-'ACTIVOS FIJOS E INTANGIBLES'!B159)</f>
        <v>0</v>
      </c>
      <c r="E12" s="263">
        <f>('ACTIVOS FIJOS E INTANGIBLES'!D159-'ACTIVOS FIJOS E INTANGIBLES'!C159)</f>
        <v>0</v>
      </c>
      <c r="F12" s="263">
        <f>('ACTIVOS FIJOS E INTANGIBLES'!E159-'ACTIVOS FIJOS E INTANGIBLES'!D159)</f>
        <v>0</v>
      </c>
      <c r="G12" s="263">
        <f>('ACTIVOS FIJOS E INTANGIBLES'!F159-'ACTIVOS FIJOS E INTANGIBLES'!E159)</f>
        <v>0</v>
      </c>
      <c r="H12" s="263">
        <f>('ACTIVOS FIJOS E INTANGIBLES'!G159-'ACTIVOS FIJOS E INTANGIBLES'!F159)</f>
        <v>0</v>
      </c>
      <c r="I12" s="263">
        <f>('ACTIVOS FIJOS E INTANGIBLES'!H159-'ACTIVOS FIJOS E INTANGIBLES'!G159)</f>
        <v>0</v>
      </c>
      <c r="J12" s="263">
        <f>('ACTIVOS FIJOS E INTANGIBLES'!I159-'ACTIVOS FIJOS E INTANGIBLES'!H159)</f>
        <v>0</v>
      </c>
      <c r="K12" s="263">
        <f>('ACTIVOS FIJOS E INTANGIBLES'!J159-'ACTIVOS FIJOS E INTANGIBLES'!I159)</f>
        <v>0</v>
      </c>
      <c r="L12" s="263">
        <f>('ACTIVOS FIJOS E INTANGIBLES'!K159-'ACTIVOS FIJOS E INTANGIBLES'!J159)</f>
        <v>0</v>
      </c>
      <c r="M12" s="84">
        <f>('ACTIVOS FIJOS E INTANGIBLES'!L159-'ACTIVOS FIJOS E INTANGIBLES'!K159)</f>
        <v>0</v>
      </c>
      <c r="N12" s="79"/>
      <c r="O12" s="79"/>
      <c r="P12" s="79"/>
    </row>
    <row r="13" spans="1:16" ht="15" thickBot="1">
      <c r="A13" s="79"/>
      <c r="B13" s="85" t="s">
        <v>2655</v>
      </c>
      <c r="C13" s="266">
        <f>-(CAPITAL!B7+CAPITAL!B10+CAPITAL!I8)</f>
        <v>-355481762.57404</v>
      </c>
      <c r="D13" s="328">
        <f>D10-D11-D12</f>
        <v>204000875.11825076</v>
      </c>
      <c r="E13" s="328">
        <f t="shared" ref="E13:M13" si="2">E10-E11-E12</f>
        <v>215510739.19496956</v>
      </c>
      <c r="F13" s="328">
        <f t="shared" si="2"/>
        <v>227512472.78565481</v>
      </c>
      <c r="G13" s="328">
        <f t="shared" si="2"/>
        <v>240020119.19430581</v>
      </c>
      <c r="H13" s="328">
        <f t="shared" si="2"/>
        <v>253047352.12007153</v>
      </c>
      <c r="I13" s="328">
        <f t="shared" si="2"/>
        <v>266607357.99778205</v>
      </c>
      <c r="J13" s="328">
        <f t="shared" si="2"/>
        <v>280712703.72834837</v>
      </c>
      <c r="K13" s="328">
        <f t="shared" si="2"/>
        <v>295375188.32357454</v>
      </c>
      <c r="L13" s="328">
        <f t="shared" si="2"/>
        <v>310605676.85380006</v>
      </c>
      <c r="M13" s="329">
        <f t="shared" si="2"/>
        <v>326413914.93870008</v>
      </c>
      <c r="N13" s="79"/>
      <c r="O13" s="79"/>
      <c r="P13" s="79"/>
    </row>
    <row r="14" spans="1:16" ht="15" thickBot="1">
      <c r="A14" s="79"/>
      <c r="B14" s="79"/>
      <c r="C14" s="79"/>
      <c r="D14" s="79"/>
      <c r="E14" s="79"/>
      <c r="F14" s="79"/>
      <c r="G14" s="79"/>
      <c r="H14" s="79"/>
      <c r="I14" s="79"/>
      <c r="J14" s="79"/>
      <c r="K14" s="79"/>
      <c r="L14" s="79"/>
      <c r="M14" s="79"/>
      <c r="N14" s="79"/>
      <c r="O14" s="79"/>
      <c r="P14" s="79"/>
    </row>
    <row r="15" spans="1:16" ht="14.5" customHeight="1">
      <c r="A15" s="79"/>
      <c r="B15" s="814" t="s">
        <v>2652</v>
      </c>
      <c r="C15" s="815"/>
      <c r="D15" s="818">
        <f>IF(D5=0,0,NPV(WACC!B23,'INDICADORES DEL PROYECTO'!D13:M13)+C13)</f>
        <v>639374355.67056179</v>
      </c>
      <c r="E15" s="712" t="s">
        <v>2663</v>
      </c>
      <c r="F15" s="713"/>
      <c r="G15" s="713"/>
      <c r="H15" s="713"/>
      <c r="I15" s="714"/>
      <c r="J15" s="79"/>
      <c r="K15" s="808" t="s">
        <v>2664</v>
      </c>
      <c r="L15" s="809"/>
      <c r="M15" s="505">
        <f>IF(D5=0,0,IF(DATOS!B92=0,0,('ESTADO DE RESULTADOS'!C11/'ESTADO DE RESULTADOS'!B1)*(1-'ESTADO DE RESULTADOS'!B12)))</f>
        <v>0</v>
      </c>
      <c r="N15" s="805" t="s">
        <v>2665</v>
      </c>
      <c r="O15" s="79"/>
      <c r="P15" s="79"/>
    </row>
    <row r="16" spans="1:16" ht="15" thickBot="1">
      <c r="A16" s="79"/>
      <c r="B16" s="816"/>
      <c r="C16" s="817"/>
      <c r="D16" s="819"/>
      <c r="E16" s="718"/>
      <c r="F16" s="719"/>
      <c r="G16" s="719"/>
      <c r="H16" s="719"/>
      <c r="I16" s="720"/>
      <c r="J16" s="79"/>
      <c r="K16" s="810"/>
      <c r="L16" s="811"/>
      <c r="M16" s="507"/>
      <c r="N16" s="806"/>
      <c r="O16" s="79"/>
      <c r="P16" s="79"/>
    </row>
    <row r="17" spans="1:16" ht="15" thickBot="1">
      <c r="A17" s="79"/>
      <c r="B17" s="79"/>
      <c r="C17" s="79"/>
      <c r="D17" s="79"/>
      <c r="E17" s="79"/>
      <c r="F17" s="79"/>
      <c r="G17" s="79"/>
      <c r="H17" s="79"/>
      <c r="I17" s="79"/>
      <c r="J17" s="79"/>
      <c r="K17" s="79"/>
      <c r="L17" s="79"/>
      <c r="M17" s="79"/>
      <c r="N17" s="806"/>
      <c r="O17" s="79"/>
      <c r="P17" s="79"/>
    </row>
    <row r="18" spans="1:16" ht="14.5" customHeight="1">
      <c r="A18" s="79"/>
      <c r="B18" s="814" t="s">
        <v>2651</v>
      </c>
      <c r="C18" s="815"/>
      <c r="D18" s="820">
        <f>IF(D5=0,0,IF(OR(D13&lt;0,E13&lt;0,F13&lt;0,G13&lt;0,H13&lt;0,I13&lt;0,J13&lt;0,K13&lt;0,L13&lt;0,M13&lt;0),"NO ES VIABLE",IRR(C13:M13)))</f>
        <v>0.62138757355073237</v>
      </c>
      <c r="E18" s="712" t="s">
        <v>2666</v>
      </c>
      <c r="F18" s="713"/>
      <c r="G18" s="713"/>
      <c r="H18" s="713"/>
      <c r="I18" s="714"/>
      <c r="J18" s="79"/>
      <c r="K18" s="808" t="s">
        <v>2667</v>
      </c>
      <c r="L18" s="809"/>
      <c r="M18" s="505">
        <f>IF(D5=0,0,IF('ESTADO DE RESULTADOS'!C21&lt;&gt;0,('ESTADO DE RESULTADOS'!B5-'ESTADO DE RESULTADOS'!B7)*12*'ESTADO DE RESULTADOS'!C13/'ESTADO DE RESULTADOS'!B1,IF('ESTADO DE RESULTADOS'!C22&lt;&gt;0,'ESTADO DE RESULTADOS'!B5*12*'ESTADO DE RESULTADOS'!C13/'ESTADO DE RESULTADOS'!B1,0)))</f>
        <v>1174740.307159259</v>
      </c>
      <c r="N18" s="806"/>
      <c r="O18" s="79"/>
      <c r="P18" s="79"/>
    </row>
    <row r="19" spans="1:16" ht="15" thickBot="1">
      <c r="A19" s="79"/>
      <c r="B19" s="816"/>
      <c r="C19" s="817"/>
      <c r="D19" s="821"/>
      <c r="E19" s="718"/>
      <c r="F19" s="719"/>
      <c r="G19" s="719"/>
      <c r="H19" s="719"/>
      <c r="I19" s="720"/>
      <c r="J19" s="79"/>
      <c r="K19" s="810"/>
      <c r="L19" s="811"/>
      <c r="M19" s="507"/>
      <c r="N19" s="806"/>
      <c r="O19" s="79"/>
      <c r="P19" s="79"/>
    </row>
    <row r="20" spans="1:16" ht="15" thickBot="1">
      <c r="A20" s="79"/>
      <c r="B20" s="79"/>
      <c r="C20" s="79"/>
      <c r="D20" s="79"/>
      <c r="E20" s="79"/>
      <c r="F20" s="79"/>
      <c r="G20" s="79"/>
      <c r="H20" s="79"/>
      <c r="I20" s="79"/>
      <c r="J20" s="79"/>
      <c r="K20" s="79"/>
      <c r="L20" s="79"/>
      <c r="M20" s="79"/>
      <c r="N20" s="806"/>
      <c r="O20" s="79"/>
      <c r="P20" s="79"/>
    </row>
    <row r="21" spans="1:16">
      <c r="A21" s="79"/>
      <c r="B21" s="79"/>
      <c r="C21" s="79"/>
      <c r="D21" s="79"/>
      <c r="E21" s="79"/>
      <c r="F21" s="79"/>
      <c r="G21" s="79"/>
      <c r="H21" s="79"/>
      <c r="I21" s="79"/>
      <c r="J21" s="79"/>
      <c r="K21" s="799" t="s">
        <v>2668</v>
      </c>
      <c r="L21" s="800"/>
      <c r="M21" s="812">
        <f>IF(D5=0,0,(CAPACITACIÓN!F12+CAPACITACIÓN!F15)/'ESTADO DE RESULTADOS'!C25)</f>
        <v>9.9312729763047312E-4</v>
      </c>
      <c r="N21" s="806"/>
      <c r="O21" s="79"/>
      <c r="P21" s="79"/>
    </row>
    <row r="22" spans="1:16" ht="15" thickBot="1">
      <c r="A22" s="79"/>
      <c r="B22" s="79"/>
      <c r="C22" s="79"/>
      <c r="D22" s="79"/>
      <c r="E22" s="79"/>
      <c r="F22" s="79"/>
      <c r="G22" s="79"/>
      <c r="H22" s="79"/>
      <c r="I22" s="79"/>
      <c r="J22" s="79"/>
      <c r="K22" s="801"/>
      <c r="L22" s="802"/>
      <c r="M22" s="813"/>
      <c r="N22" s="806"/>
      <c r="O22" s="79"/>
      <c r="P22" s="79"/>
    </row>
    <row r="23" spans="1:16" ht="15" thickBot="1">
      <c r="A23" s="79"/>
      <c r="B23" s="79"/>
      <c r="C23" s="79"/>
      <c r="D23" s="79"/>
      <c r="E23" s="79"/>
      <c r="F23" s="79"/>
      <c r="G23" s="79"/>
      <c r="H23" s="79"/>
      <c r="I23" s="79"/>
      <c r="J23" s="79"/>
      <c r="K23" s="79"/>
      <c r="L23" s="79"/>
      <c r="M23" s="79"/>
      <c r="N23" s="806"/>
      <c r="O23" s="79"/>
      <c r="P23" s="79"/>
    </row>
    <row r="24" spans="1:16">
      <c r="A24" s="79"/>
      <c r="B24" s="79"/>
      <c r="C24" s="79"/>
      <c r="D24" s="79"/>
      <c r="E24" s="79"/>
      <c r="F24" s="79"/>
      <c r="G24" s="79"/>
      <c r="H24" s="79"/>
      <c r="I24" s="79"/>
      <c r="J24" s="79"/>
      <c r="K24" s="799" t="s">
        <v>2669</v>
      </c>
      <c r="L24" s="800"/>
      <c r="M24" s="803">
        <f>IF(D5=0,0,DATOS!B37/DATOS!B39)</f>
        <v>2.0666666666666669</v>
      </c>
      <c r="N24" s="806"/>
      <c r="O24" s="79"/>
      <c r="P24" s="79"/>
    </row>
    <row r="25" spans="1:16" ht="15" thickBot="1">
      <c r="A25" s="79"/>
      <c r="B25" s="79"/>
      <c r="C25" s="79"/>
      <c r="D25" s="79"/>
      <c r="E25" s="79"/>
      <c r="F25" s="79"/>
      <c r="G25" s="79"/>
      <c r="H25" s="79"/>
      <c r="I25" s="79"/>
      <c r="J25" s="79"/>
      <c r="K25" s="801"/>
      <c r="L25" s="802"/>
      <c r="M25" s="804"/>
      <c r="N25" s="807"/>
      <c r="O25" s="79"/>
      <c r="P25" s="79"/>
    </row>
    <row r="26" spans="1:16">
      <c r="A26" s="79"/>
      <c r="B26" s="79"/>
      <c r="C26" s="79"/>
      <c r="D26" s="79"/>
      <c r="E26" s="79"/>
      <c r="F26" s="79"/>
      <c r="G26" s="79"/>
      <c r="H26" s="79"/>
      <c r="I26" s="79"/>
      <c r="J26" s="79"/>
      <c r="K26" s="79"/>
      <c r="L26" s="79"/>
      <c r="M26" s="79"/>
      <c r="N26" s="79"/>
      <c r="O26" s="79"/>
      <c r="P26" s="79"/>
    </row>
    <row r="27" spans="1:16">
      <c r="A27" s="79"/>
      <c r="B27" s="79"/>
      <c r="C27" s="79"/>
      <c r="D27" s="79"/>
      <c r="E27" s="79"/>
      <c r="F27" s="79"/>
      <c r="G27" s="79"/>
      <c r="H27" s="79"/>
      <c r="I27" s="79"/>
      <c r="J27" s="79"/>
      <c r="K27" s="79"/>
      <c r="L27" s="79"/>
      <c r="M27" s="79"/>
      <c r="N27" s="79"/>
      <c r="O27" s="79"/>
      <c r="P27" s="79"/>
    </row>
    <row r="28" spans="1:16">
      <c r="A28" s="79"/>
      <c r="B28" s="79"/>
      <c r="C28" s="79"/>
      <c r="D28" s="79"/>
      <c r="E28" s="79"/>
      <c r="F28" s="79"/>
      <c r="G28" s="79"/>
      <c r="H28" s="79"/>
      <c r="I28" s="79"/>
      <c r="J28" s="79"/>
      <c r="K28" s="79"/>
      <c r="L28" s="79"/>
      <c r="M28" s="79"/>
      <c r="N28" s="79"/>
      <c r="O28" s="79"/>
      <c r="P28" s="79"/>
    </row>
    <row r="29" spans="1:16">
      <c r="A29" s="79"/>
      <c r="B29" s="79"/>
      <c r="C29" s="79"/>
      <c r="D29" s="79"/>
      <c r="E29" s="79"/>
      <c r="F29" s="79"/>
      <c r="G29" s="79"/>
      <c r="H29" s="79"/>
      <c r="I29" s="79"/>
      <c r="J29" s="79"/>
      <c r="K29" s="79"/>
      <c r="L29" s="79"/>
      <c r="M29" s="79"/>
      <c r="N29" s="79"/>
      <c r="O29" s="79"/>
      <c r="P29" s="79"/>
    </row>
    <row r="30" spans="1:16">
      <c r="A30" s="79"/>
      <c r="B30" s="79"/>
      <c r="C30" s="79"/>
      <c r="D30" s="79"/>
      <c r="E30" s="79"/>
      <c r="F30" s="79"/>
      <c r="G30" s="79"/>
      <c r="H30" s="79"/>
      <c r="I30" s="79"/>
      <c r="J30" s="79"/>
      <c r="K30" s="79"/>
      <c r="L30" s="79"/>
      <c r="M30" s="79"/>
      <c r="N30" s="79"/>
      <c r="O30" s="79"/>
      <c r="P30" s="79"/>
    </row>
    <row r="31" spans="1:16">
      <c r="A31" s="79"/>
      <c r="B31" s="79"/>
      <c r="C31" s="79"/>
      <c r="D31" s="79"/>
      <c r="E31" s="79"/>
      <c r="F31" s="79"/>
      <c r="G31" s="79"/>
      <c r="H31" s="79"/>
      <c r="I31" s="79"/>
      <c r="J31" s="79"/>
      <c r="K31" s="79"/>
      <c r="L31" s="79"/>
      <c r="M31" s="79"/>
      <c r="N31" s="79"/>
      <c r="O31" s="79"/>
      <c r="P31" s="79"/>
    </row>
    <row r="32" spans="1:16">
      <c r="A32" s="79"/>
      <c r="B32" s="79"/>
      <c r="C32" s="79"/>
      <c r="D32" s="79"/>
      <c r="E32" s="79"/>
      <c r="F32" s="79"/>
      <c r="G32" s="79"/>
      <c r="H32" s="79"/>
      <c r="I32" s="79"/>
      <c r="J32" s="79"/>
      <c r="K32" s="79"/>
      <c r="L32" s="79"/>
      <c r="M32" s="79"/>
      <c r="N32" s="79"/>
      <c r="O32" s="79"/>
      <c r="P32" s="79"/>
    </row>
  </sheetData>
  <mergeCells count="16">
    <mergeCell ref="A1:O2"/>
    <mergeCell ref="B15:C16"/>
    <mergeCell ref="D15:D16"/>
    <mergeCell ref="B18:C19"/>
    <mergeCell ref="D18:D19"/>
    <mergeCell ref="E18:I19"/>
    <mergeCell ref="E15:I16"/>
    <mergeCell ref="K24:L25"/>
    <mergeCell ref="M24:M25"/>
    <mergeCell ref="N15:N25"/>
    <mergeCell ref="K15:L16"/>
    <mergeCell ref="K18:L19"/>
    <mergeCell ref="M15:M16"/>
    <mergeCell ref="M18:M19"/>
    <mergeCell ref="K21:L22"/>
    <mergeCell ref="M21:M22"/>
  </mergeCells>
  <phoneticPr fontId="14"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625C-DA69-4788-906A-2975583D7A44}">
  <dimension ref="A1:H15"/>
  <sheetViews>
    <sheetView workbookViewId="0">
      <selection activeCell="H16" sqref="H16"/>
    </sheetView>
  </sheetViews>
  <sheetFormatPr baseColWidth="10" defaultColWidth="11.453125" defaultRowHeight="14.5"/>
  <cols>
    <col min="8" max="8" width="15.81640625" bestFit="1" customWidth="1"/>
  </cols>
  <sheetData>
    <row r="1" spans="1:8" ht="15.5">
      <c r="A1" s="826" t="s">
        <v>2627</v>
      </c>
      <c r="B1" s="827"/>
      <c r="C1" s="827"/>
      <c r="D1" s="827"/>
      <c r="E1" s="827"/>
      <c r="F1" s="827"/>
      <c r="G1" s="828"/>
      <c r="H1" s="22" t="s">
        <v>2670</v>
      </c>
    </row>
    <row r="2" spans="1:8" ht="15.5">
      <c r="A2" s="829" t="s">
        <v>2671</v>
      </c>
      <c r="B2" s="830"/>
      <c r="C2" s="830"/>
      <c r="D2" s="830"/>
      <c r="E2" s="830"/>
      <c r="F2" s="830"/>
      <c r="G2" s="830"/>
      <c r="H2" s="830"/>
    </row>
    <row r="3" spans="1:8" ht="15.5">
      <c r="A3" s="23"/>
      <c r="B3" s="24"/>
      <c r="C3" s="24"/>
      <c r="D3" s="24"/>
      <c r="E3" s="25"/>
      <c r="F3" s="24"/>
      <c r="G3" s="26"/>
      <c r="H3" s="27"/>
    </row>
    <row r="4" spans="1:8" ht="15.5">
      <c r="A4" s="822" t="s">
        <v>2672</v>
      </c>
      <c r="B4" s="823"/>
      <c r="C4" s="823"/>
      <c r="D4" s="823"/>
      <c r="E4" s="823"/>
      <c r="F4" s="823"/>
      <c r="G4" s="824"/>
      <c r="H4" s="28">
        <v>1</v>
      </c>
    </row>
    <row r="5" spans="1:8" ht="15.5">
      <c r="A5" s="822" t="s">
        <v>2673</v>
      </c>
      <c r="B5" s="823"/>
      <c r="C5" s="823"/>
      <c r="D5" s="29"/>
      <c r="E5" s="30"/>
      <c r="F5" s="31"/>
      <c r="G5" s="32"/>
      <c r="H5" s="33">
        <f>H4/12</f>
        <v>8.3333333333333329E-2</v>
      </c>
    </row>
    <row r="6" spans="1:8" ht="15.5">
      <c r="A6" s="822" t="s">
        <v>2674</v>
      </c>
      <c r="B6" s="823"/>
      <c r="C6" s="823"/>
      <c r="D6" s="29"/>
      <c r="E6" s="30"/>
      <c r="F6" s="31"/>
      <c r="G6" s="32"/>
      <c r="H6" s="33">
        <f>H4/12</f>
        <v>8.3333333333333329E-2</v>
      </c>
    </row>
    <row r="7" spans="1:8" ht="15.5">
      <c r="A7" s="822" t="s">
        <v>2675</v>
      </c>
      <c r="B7" s="823"/>
      <c r="C7" s="823"/>
      <c r="D7" s="29"/>
      <c r="E7" s="30"/>
      <c r="F7" s="31"/>
      <c r="G7" s="32"/>
      <c r="H7" s="33">
        <f>H6*12%</f>
        <v>9.9999999999999985E-3</v>
      </c>
    </row>
    <row r="8" spans="1:8" ht="15.5">
      <c r="A8" s="822" t="s">
        <v>2676</v>
      </c>
      <c r="B8" s="823"/>
      <c r="C8" s="823"/>
      <c r="D8" s="823"/>
      <c r="E8" s="823"/>
      <c r="F8" s="823"/>
      <c r="G8" s="824"/>
      <c r="H8" s="33">
        <f>H4/24</f>
        <v>4.1666666666666664E-2</v>
      </c>
    </row>
    <row r="9" spans="1:8" ht="15.5">
      <c r="A9" s="822" t="s">
        <v>2677</v>
      </c>
      <c r="B9" s="823"/>
      <c r="C9" s="823"/>
      <c r="D9" s="823"/>
      <c r="E9" s="823"/>
      <c r="F9" s="823"/>
      <c r="G9" s="824"/>
      <c r="H9" s="33">
        <v>0.12</v>
      </c>
    </row>
    <row r="10" spans="1:8" ht="15.5">
      <c r="A10" s="822" t="s">
        <v>2678</v>
      </c>
      <c r="B10" s="823"/>
      <c r="C10" s="823"/>
      <c r="D10" s="823"/>
      <c r="E10" s="823"/>
      <c r="F10" s="823"/>
      <c r="G10" s="824"/>
      <c r="H10" s="33">
        <v>0</v>
      </c>
    </row>
    <row r="11" spans="1:8" ht="15.5">
      <c r="A11" s="822" t="s">
        <v>2679</v>
      </c>
      <c r="B11" s="823"/>
      <c r="C11" s="823"/>
      <c r="D11" s="823"/>
      <c r="E11" s="823"/>
      <c r="F11" s="823"/>
      <c r="G11" s="824"/>
      <c r="H11" s="33">
        <v>0.04</v>
      </c>
    </row>
    <row r="12" spans="1:8" ht="15.5">
      <c r="A12" s="822" t="s">
        <v>2680</v>
      </c>
      <c r="B12" s="823"/>
      <c r="C12" s="823"/>
      <c r="D12" s="823"/>
      <c r="E12" s="823"/>
      <c r="F12" s="823"/>
      <c r="G12" s="824"/>
      <c r="H12" s="33">
        <v>0</v>
      </c>
    </row>
    <row r="13" spans="1:8" ht="15.5">
      <c r="A13" s="822" t="s">
        <v>2681</v>
      </c>
      <c r="B13" s="823"/>
      <c r="C13" s="823"/>
      <c r="D13" s="823"/>
      <c r="E13" s="823"/>
      <c r="F13" s="823"/>
      <c r="G13" s="824"/>
      <c r="H13" s="33">
        <v>5.2199999999999998E-3</v>
      </c>
    </row>
    <row r="14" spans="1:8" ht="15.5">
      <c r="A14" s="822" t="s">
        <v>2682</v>
      </c>
      <c r="B14" s="823"/>
      <c r="C14" s="823"/>
      <c r="D14" s="823"/>
      <c r="E14" s="823"/>
      <c r="F14" s="823"/>
      <c r="G14" s="824"/>
      <c r="H14" s="33">
        <v>2.5000000000000001E-2</v>
      </c>
    </row>
    <row r="15" spans="1:8" ht="15.5">
      <c r="A15" s="34"/>
      <c r="B15" s="31"/>
      <c r="C15" s="31"/>
      <c r="D15" s="31"/>
      <c r="E15" s="825" t="s">
        <v>2683</v>
      </c>
      <c r="F15" s="823"/>
      <c r="G15" s="824"/>
      <c r="H15" s="28">
        <f>SUM(H5:H14)</f>
        <v>0.40855333333333332</v>
      </c>
    </row>
  </sheetData>
  <mergeCells count="14">
    <mergeCell ref="A7:C7"/>
    <mergeCell ref="A1:G1"/>
    <mergeCell ref="A2:H2"/>
    <mergeCell ref="A4:G4"/>
    <mergeCell ref="A5:C5"/>
    <mergeCell ref="A6:C6"/>
    <mergeCell ref="A14:G14"/>
    <mergeCell ref="E15:G15"/>
    <mergeCell ref="A8:G8"/>
    <mergeCell ref="A9:G9"/>
    <mergeCell ref="A10:G10"/>
    <mergeCell ref="A11:G11"/>
    <mergeCell ref="A12:G12"/>
    <mergeCell ref="A13:G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ADE7-F3C7-462B-BC39-C7DA2E65E498}">
  <dimension ref="A1:P32"/>
  <sheetViews>
    <sheetView showGridLines="0" showRowColHeaders="0" workbookViewId="0">
      <selection sqref="A1:O2"/>
    </sheetView>
  </sheetViews>
  <sheetFormatPr baseColWidth="10" defaultColWidth="11.453125" defaultRowHeight="14.5"/>
  <cols>
    <col min="1" max="1" width="28.7265625" bestFit="1" customWidth="1"/>
    <col min="2" max="12" width="14" customWidth="1"/>
    <col min="13" max="13" width="1" customWidth="1"/>
  </cols>
  <sheetData>
    <row r="1" spans="1:16">
      <c r="A1" s="401" t="s">
        <v>2684</v>
      </c>
      <c r="B1" s="402"/>
      <c r="C1" s="402"/>
      <c r="D1" s="402"/>
      <c r="E1" s="402"/>
      <c r="F1" s="402"/>
      <c r="G1" s="402"/>
      <c r="H1" s="402"/>
      <c r="I1" s="402"/>
      <c r="J1" s="402"/>
      <c r="K1" s="402"/>
      <c r="L1" s="402"/>
      <c r="M1" s="402"/>
      <c r="N1" s="402"/>
      <c r="O1" s="403"/>
      <c r="P1" s="79"/>
    </row>
    <row r="2" spans="1:16" ht="15" thickBot="1">
      <c r="A2" s="404"/>
      <c r="B2" s="405"/>
      <c r="C2" s="405"/>
      <c r="D2" s="405"/>
      <c r="E2" s="405"/>
      <c r="F2" s="405"/>
      <c r="G2" s="405"/>
      <c r="H2" s="405"/>
      <c r="I2" s="405"/>
      <c r="J2" s="405"/>
      <c r="K2" s="405"/>
      <c r="L2" s="405"/>
      <c r="M2" s="405"/>
      <c r="N2" s="405"/>
      <c r="O2" s="406"/>
      <c r="P2" s="79"/>
    </row>
    <row r="3" spans="1:16" ht="15" thickBot="1">
      <c r="A3" s="79"/>
      <c r="B3" s="79"/>
      <c r="C3" s="79"/>
      <c r="D3" s="79"/>
      <c r="E3" s="79"/>
      <c r="F3" s="79"/>
      <c r="G3" s="79"/>
      <c r="H3" s="79"/>
      <c r="I3" s="79"/>
      <c r="J3" s="79"/>
      <c r="K3" s="79"/>
      <c r="L3" s="79"/>
      <c r="M3" s="79"/>
      <c r="N3" s="79"/>
      <c r="O3" s="79"/>
      <c r="P3" s="79"/>
    </row>
    <row r="4" spans="1:16">
      <c r="A4" s="245" t="s">
        <v>2627</v>
      </c>
      <c r="B4" s="246" t="s">
        <v>2590</v>
      </c>
      <c r="C4" s="246" t="s">
        <v>2265</v>
      </c>
      <c r="D4" s="246" t="s">
        <v>2266</v>
      </c>
      <c r="E4" s="246" t="s">
        <v>2267</v>
      </c>
      <c r="F4" s="246" t="s">
        <v>2268</v>
      </c>
      <c r="G4" s="246" t="s">
        <v>2269</v>
      </c>
      <c r="H4" s="246" t="s">
        <v>2270</v>
      </c>
      <c r="I4" s="246" t="s">
        <v>2271</v>
      </c>
      <c r="J4" s="246" t="s">
        <v>2272</v>
      </c>
      <c r="K4" s="246" t="s">
        <v>2273</v>
      </c>
      <c r="L4" s="247" t="s">
        <v>2274</v>
      </c>
      <c r="M4" s="79"/>
      <c r="N4" s="591" t="s">
        <v>2685</v>
      </c>
      <c r="O4" s="593"/>
      <c r="P4" s="79"/>
    </row>
    <row r="5" spans="1:16">
      <c r="A5" s="83" t="s">
        <v>2686</v>
      </c>
      <c r="B5" s="263">
        <f>'ACTIVOS FIJOS E INTANGIBLES'!B158-'ACTIVOS FIJOS E INTANGIBLES'!C159</f>
        <v>0</v>
      </c>
      <c r="C5" s="263">
        <f>'PRESUPUESTO DE EFECTIVO'!C13</f>
        <v>204000875.11825073</v>
      </c>
      <c r="D5" s="263">
        <f>'PRESUPUESTO DE EFECTIVO'!D13</f>
        <v>419511614.31322026</v>
      </c>
      <c r="E5" s="263">
        <f>'PRESUPUESTO DE EFECTIVO'!E13</f>
        <v>647024087.09887505</v>
      </c>
      <c r="F5" s="263">
        <f>'PRESUPUESTO DE EFECTIVO'!F13</f>
        <v>887044206.29318082</v>
      </c>
      <c r="G5" s="263">
        <f>'PRESUPUESTO DE EFECTIVO'!G13</f>
        <v>1140091558.4132524</v>
      </c>
      <c r="H5" s="263">
        <f>'PRESUPUESTO DE EFECTIVO'!H13</f>
        <v>1406698916.4110343</v>
      </c>
      <c r="I5" s="263">
        <f>'PRESUPUESTO DE EFECTIVO'!I13</f>
        <v>1687411620.1393828</v>
      </c>
      <c r="J5" s="263">
        <f>'PRESUPUESTO DE EFECTIVO'!J13</f>
        <v>1982786808.4629574</v>
      </c>
      <c r="K5" s="263">
        <f>'PRESUPUESTO DE EFECTIVO'!K13</f>
        <v>2293392485.3167577</v>
      </c>
      <c r="L5" s="84">
        <f>'PRESUPUESTO DE EFECTIVO'!L13</f>
        <v>2619806400.2554579</v>
      </c>
      <c r="M5" s="79"/>
      <c r="N5" s="594"/>
      <c r="O5" s="596"/>
      <c r="P5" s="79"/>
    </row>
    <row r="6" spans="1:16">
      <c r="A6" s="83" t="s">
        <v>2687</v>
      </c>
      <c r="B6" s="263">
        <v>0</v>
      </c>
      <c r="C6" s="263">
        <v>0</v>
      </c>
      <c r="D6" s="263">
        <v>0</v>
      </c>
      <c r="E6" s="263">
        <v>0</v>
      </c>
      <c r="F6" s="263">
        <v>0</v>
      </c>
      <c r="G6" s="263">
        <v>0</v>
      </c>
      <c r="H6" s="263">
        <v>0</v>
      </c>
      <c r="I6" s="263">
        <v>0</v>
      </c>
      <c r="J6" s="263">
        <v>0</v>
      </c>
      <c r="K6" s="263">
        <v>0</v>
      </c>
      <c r="L6" s="84">
        <v>0</v>
      </c>
      <c r="M6" s="79"/>
      <c r="N6" s="594"/>
      <c r="O6" s="596"/>
      <c r="P6" s="79"/>
    </row>
    <row r="7" spans="1:16">
      <c r="A7" s="83" t="s">
        <v>2688</v>
      </c>
      <c r="B7" s="259">
        <f t="shared" ref="B7:L7" si="0">SUM(B5:B6)</f>
        <v>0</v>
      </c>
      <c r="C7" s="259">
        <f t="shared" si="0"/>
        <v>204000875.11825073</v>
      </c>
      <c r="D7" s="259">
        <f t="shared" si="0"/>
        <v>419511614.31322026</v>
      </c>
      <c r="E7" s="259">
        <f t="shared" si="0"/>
        <v>647024087.09887505</v>
      </c>
      <c r="F7" s="259">
        <f t="shared" si="0"/>
        <v>887044206.29318082</v>
      </c>
      <c r="G7" s="259">
        <f t="shared" si="0"/>
        <v>1140091558.4132524</v>
      </c>
      <c r="H7" s="259">
        <f t="shared" si="0"/>
        <v>1406698916.4110343</v>
      </c>
      <c r="I7" s="259">
        <f t="shared" si="0"/>
        <v>1687411620.1393828</v>
      </c>
      <c r="J7" s="259">
        <f t="shared" si="0"/>
        <v>1982786808.4629574</v>
      </c>
      <c r="K7" s="259">
        <f t="shared" si="0"/>
        <v>2293392485.3167577</v>
      </c>
      <c r="L7" s="100">
        <f t="shared" si="0"/>
        <v>2619806400.2554579</v>
      </c>
      <c r="M7" s="79"/>
      <c r="N7" s="594"/>
      <c r="O7" s="596"/>
      <c r="P7" s="79"/>
    </row>
    <row r="8" spans="1:16">
      <c r="A8" s="83" t="s">
        <v>2689</v>
      </c>
      <c r="B8" s="263">
        <f>'ACTIVOS FIJOS E INTANGIBLES'!C159</f>
        <v>355481762.57404</v>
      </c>
      <c r="C8" s="263">
        <f>'ACTIVOS FIJOS E INTANGIBLES'!C162</f>
        <v>319933586.31663597</v>
      </c>
      <c r="D8" s="263">
        <f>'ACTIVOS FIJOS E INTANGIBLES'!D162</f>
        <v>284385410.059232</v>
      </c>
      <c r="E8" s="263">
        <f>'ACTIVOS FIJOS E INTANGIBLES'!E162</f>
        <v>248837233.801828</v>
      </c>
      <c r="F8" s="263">
        <f>'ACTIVOS FIJOS E INTANGIBLES'!F162</f>
        <v>213289057.544424</v>
      </c>
      <c r="G8" s="263">
        <f>'ACTIVOS FIJOS E INTANGIBLES'!G162</f>
        <v>177740881.28702</v>
      </c>
      <c r="H8" s="263">
        <f>'ACTIVOS FIJOS E INTANGIBLES'!H162</f>
        <v>142192705.029616</v>
      </c>
      <c r="I8" s="263">
        <f>'ACTIVOS FIJOS E INTANGIBLES'!I162</f>
        <v>106644528.772212</v>
      </c>
      <c r="J8" s="263">
        <f>'ACTIVOS FIJOS E INTANGIBLES'!J162</f>
        <v>71096352.514807999</v>
      </c>
      <c r="K8" s="263">
        <f>'ACTIVOS FIJOS E INTANGIBLES'!K162</f>
        <v>35548176.257404029</v>
      </c>
      <c r="L8" s="84">
        <f>'ACTIVOS FIJOS E INTANGIBLES'!L162</f>
        <v>0</v>
      </c>
      <c r="M8" s="79"/>
      <c r="N8" s="594"/>
      <c r="O8" s="596"/>
      <c r="P8" s="79"/>
    </row>
    <row r="9" spans="1:16">
      <c r="A9" s="83" t="s">
        <v>2690</v>
      </c>
      <c r="B9" s="259">
        <f t="shared" ref="B9:L9" si="1">SUM(B8)</f>
        <v>355481762.57404</v>
      </c>
      <c r="C9" s="259">
        <f t="shared" si="1"/>
        <v>319933586.31663597</v>
      </c>
      <c r="D9" s="259">
        <f t="shared" si="1"/>
        <v>284385410.059232</v>
      </c>
      <c r="E9" s="259">
        <f t="shared" si="1"/>
        <v>248837233.801828</v>
      </c>
      <c r="F9" s="259">
        <f t="shared" si="1"/>
        <v>213289057.544424</v>
      </c>
      <c r="G9" s="259">
        <f t="shared" si="1"/>
        <v>177740881.28702</v>
      </c>
      <c r="H9" s="259">
        <f t="shared" si="1"/>
        <v>142192705.029616</v>
      </c>
      <c r="I9" s="259">
        <f t="shared" si="1"/>
        <v>106644528.772212</v>
      </c>
      <c r="J9" s="259">
        <f t="shared" si="1"/>
        <v>71096352.514807999</v>
      </c>
      <c r="K9" s="259">
        <f t="shared" si="1"/>
        <v>35548176.257404029</v>
      </c>
      <c r="L9" s="100">
        <f t="shared" si="1"/>
        <v>0</v>
      </c>
      <c r="M9" s="79"/>
      <c r="N9" s="594"/>
      <c r="O9" s="596"/>
      <c r="P9" s="79"/>
    </row>
    <row r="10" spans="1:16">
      <c r="A10" s="83" t="s">
        <v>2691</v>
      </c>
      <c r="B10" s="259">
        <f t="shared" ref="B10:L10" si="2">B9+B7</f>
        <v>355481762.57404</v>
      </c>
      <c r="C10" s="259">
        <f t="shared" si="2"/>
        <v>523934461.43488669</v>
      </c>
      <c r="D10" s="259">
        <f t="shared" si="2"/>
        <v>703897024.37245226</v>
      </c>
      <c r="E10" s="259">
        <f t="shared" si="2"/>
        <v>895861320.90070307</v>
      </c>
      <c r="F10" s="259">
        <f t="shared" si="2"/>
        <v>1100333263.8376048</v>
      </c>
      <c r="G10" s="259">
        <f t="shared" si="2"/>
        <v>1317832439.7002723</v>
      </c>
      <c r="H10" s="259">
        <f t="shared" si="2"/>
        <v>1548891621.4406505</v>
      </c>
      <c r="I10" s="259">
        <f t="shared" si="2"/>
        <v>1794056148.9115949</v>
      </c>
      <c r="J10" s="259">
        <f t="shared" si="2"/>
        <v>2053883160.9777653</v>
      </c>
      <c r="K10" s="259">
        <f t="shared" si="2"/>
        <v>2328940661.5741615</v>
      </c>
      <c r="L10" s="100">
        <f t="shared" si="2"/>
        <v>2619806400.2554579</v>
      </c>
      <c r="M10" s="79"/>
      <c r="N10" s="594"/>
      <c r="O10" s="596"/>
      <c r="P10" s="79"/>
    </row>
    <row r="11" spans="1:16">
      <c r="A11" s="83" t="s">
        <v>2692</v>
      </c>
      <c r="B11" s="263">
        <f>FINANCIACIÓN!F74</f>
        <v>142192705.029616</v>
      </c>
      <c r="C11" s="263">
        <f>FINANCIACIÓN!G74</f>
        <v>142192705.029616</v>
      </c>
      <c r="D11" s="263">
        <f>FINANCIACIÓN!H74</f>
        <v>142192705.029616</v>
      </c>
      <c r="E11" s="263">
        <f>FINANCIACIÓN!I74</f>
        <v>142192705.029616</v>
      </c>
      <c r="F11" s="263">
        <f>FINANCIACIÓN!J74</f>
        <v>142192705.029616</v>
      </c>
      <c r="G11" s="263">
        <f>FINANCIACIÓN!K74</f>
        <v>142192705.029616</v>
      </c>
      <c r="H11" s="263">
        <f>FINANCIACIÓN!L74</f>
        <v>142192705.029616</v>
      </c>
      <c r="I11" s="263">
        <f>FINANCIACIÓN!M74</f>
        <v>142192705.029616</v>
      </c>
      <c r="J11" s="263">
        <f>FINANCIACIÓN!N74</f>
        <v>142192705.029616</v>
      </c>
      <c r="K11" s="263">
        <f>FINANCIACIÓN!O74</f>
        <v>142192705.029616</v>
      </c>
      <c r="L11" s="84">
        <f>FINANCIACIÓN!P74</f>
        <v>0</v>
      </c>
      <c r="M11" s="79"/>
      <c r="N11" s="594"/>
      <c r="O11" s="596"/>
      <c r="P11" s="79"/>
    </row>
    <row r="12" spans="1:16">
      <c r="A12" s="83" t="s">
        <v>2693</v>
      </c>
      <c r="B12" s="263">
        <f>FINANCIACIÓN!F55</f>
        <v>0</v>
      </c>
      <c r="C12" s="263">
        <f>FINANCIACIÓN!G55</f>
        <v>0</v>
      </c>
      <c r="D12" s="263">
        <f>FINANCIACIÓN!H55</f>
        <v>0</v>
      </c>
      <c r="E12" s="263">
        <f>FINANCIACIÓN!I55</f>
        <v>0</v>
      </c>
      <c r="F12" s="263">
        <f>FINANCIACIÓN!J55</f>
        <v>0</v>
      </c>
      <c r="G12" s="263">
        <f>FINANCIACIÓN!K55</f>
        <v>0</v>
      </c>
      <c r="H12" s="263">
        <f>FINANCIACIÓN!L55</f>
        <v>0</v>
      </c>
      <c r="I12" s="263">
        <f>FINANCIACIÓN!M55</f>
        <v>0</v>
      </c>
      <c r="J12" s="263">
        <f>FINANCIACIÓN!N55</f>
        <v>0</v>
      </c>
      <c r="K12" s="263">
        <f>FINANCIACIÓN!O55</f>
        <v>0</v>
      </c>
      <c r="L12" s="84">
        <f>FINANCIACIÓN!P55</f>
        <v>0</v>
      </c>
      <c r="M12" s="79"/>
      <c r="N12" s="594"/>
      <c r="O12" s="596"/>
      <c r="P12" s="79"/>
    </row>
    <row r="13" spans="1:16">
      <c r="A13" s="83" t="s">
        <v>2694</v>
      </c>
      <c r="B13" s="263">
        <f t="shared" ref="B13:L13" si="3">SUM(B11:B12)</f>
        <v>142192705.029616</v>
      </c>
      <c r="C13" s="263">
        <f t="shared" si="3"/>
        <v>142192705.029616</v>
      </c>
      <c r="D13" s="263">
        <f t="shared" si="3"/>
        <v>142192705.029616</v>
      </c>
      <c r="E13" s="263">
        <f t="shared" si="3"/>
        <v>142192705.029616</v>
      </c>
      <c r="F13" s="263">
        <f t="shared" si="3"/>
        <v>142192705.029616</v>
      </c>
      <c r="G13" s="263">
        <f t="shared" si="3"/>
        <v>142192705.029616</v>
      </c>
      <c r="H13" s="263">
        <f t="shared" si="3"/>
        <v>142192705.029616</v>
      </c>
      <c r="I13" s="263">
        <f t="shared" si="3"/>
        <v>142192705.029616</v>
      </c>
      <c r="J13" s="263">
        <f t="shared" si="3"/>
        <v>142192705.029616</v>
      </c>
      <c r="K13" s="263">
        <f t="shared" si="3"/>
        <v>142192705.029616</v>
      </c>
      <c r="L13" s="84">
        <f t="shared" si="3"/>
        <v>0</v>
      </c>
      <c r="M13" s="79"/>
      <c r="N13" s="594"/>
      <c r="O13" s="596"/>
      <c r="P13" s="79"/>
    </row>
    <row r="14" spans="1:16">
      <c r="A14" s="83" t="s">
        <v>2695</v>
      </c>
      <c r="B14" s="263">
        <f>CAPITAL!I6+CAPITAL!I7+FINANCIACIÓN!F75</f>
        <v>213289057.544424</v>
      </c>
      <c r="C14" s="263">
        <f>$B$14+FINANCIACIÓN!G75</f>
        <v>213289057.544424</v>
      </c>
      <c r="D14" s="263">
        <f>$B$14+FINANCIACIÓN!H75</f>
        <v>213289057.544424</v>
      </c>
      <c r="E14" s="263">
        <f>$B$14+FINANCIACIÓN!I75</f>
        <v>213289057.544424</v>
      </c>
      <c r="F14" s="263">
        <f>$B$14+FINANCIACIÓN!J75</f>
        <v>213289057.544424</v>
      </c>
      <c r="G14" s="263">
        <f>$B$14+FINANCIACIÓN!K75</f>
        <v>213289057.544424</v>
      </c>
      <c r="H14" s="263">
        <f>$B$14+FINANCIACIÓN!L75</f>
        <v>213289057.544424</v>
      </c>
      <c r="I14" s="263">
        <f>$B$14+FINANCIACIÓN!M75</f>
        <v>213289057.544424</v>
      </c>
      <c r="J14" s="263">
        <f>$B$14+FINANCIACIÓN!N75</f>
        <v>213289057.544424</v>
      </c>
      <c r="K14" s="263">
        <f>$B$14+FINANCIACIÓN!O75</f>
        <v>213289057.544424</v>
      </c>
      <c r="L14" s="84">
        <f>$B$14+FINANCIACIÓN!P75</f>
        <v>355481762.57404</v>
      </c>
      <c r="M14" s="79"/>
      <c r="N14" s="594"/>
      <c r="O14" s="596"/>
      <c r="P14" s="79"/>
    </row>
    <row r="15" spans="1:16">
      <c r="A15" s="83" t="s">
        <v>2696</v>
      </c>
      <c r="B15" s="263">
        <v>0</v>
      </c>
      <c r="C15" s="259">
        <f>B16</f>
        <v>0</v>
      </c>
      <c r="D15" s="259">
        <f>C16+C15</f>
        <v>168452698.86084676</v>
      </c>
      <c r="E15" s="259">
        <f t="shared" ref="E15:L15" si="4">D15+D16</f>
        <v>348415261.79841232</v>
      </c>
      <c r="F15" s="259">
        <f t="shared" si="4"/>
        <v>540379558.32666314</v>
      </c>
      <c r="G15" s="259">
        <f t="shared" si="4"/>
        <v>744851501.26356494</v>
      </c>
      <c r="H15" s="259">
        <f t="shared" si="4"/>
        <v>962350677.1262325</v>
      </c>
      <c r="I15" s="259">
        <f t="shared" si="4"/>
        <v>1193409858.8666105</v>
      </c>
      <c r="J15" s="259">
        <f t="shared" si="4"/>
        <v>1438574386.3375549</v>
      </c>
      <c r="K15" s="259">
        <f t="shared" si="4"/>
        <v>1698401398.4037254</v>
      </c>
      <c r="L15" s="100">
        <f t="shared" si="4"/>
        <v>1973458899.0001216</v>
      </c>
      <c r="M15" s="79"/>
      <c r="N15" s="594"/>
      <c r="O15" s="596"/>
      <c r="P15" s="79"/>
    </row>
    <row r="16" spans="1:16">
      <c r="A16" s="83" t="s">
        <v>2697</v>
      </c>
      <c r="B16" s="263">
        <v>0</v>
      </c>
      <c r="C16" s="263">
        <f>'ESTADO DE RESULTADOS'!C38-B5</f>
        <v>168452698.86084676</v>
      </c>
      <c r="D16" s="263">
        <f>'ESTADO DE RESULTADOS'!D38</f>
        <v>179962562.93756557</v>
      </c>
      <c r="E16" s="263">
        <f>'ESTADO DE RESULTADOS'!E38</f>
        <v>191964296.52825081</v>
      </c>
      <c r="F16" s="263">
        <f>'ESTADO DE RESULTADOS'!F38</f>
        <v>204471942.93690181</v>
      </c>
      <c r="G16" s="263">
        <f>'ESTADO DE RESULTADOS'!G38</f>
        <v>217499175.86266753</v>
      </c>
      <c r="H16" s="263">
        <f>'ESTADO DE RESULTADOS'!H38</f>
        <v>231059181.74037805</v>
      </c>
      <c r="I16" s="263">
        <f>'ESTADO DE RESULTADOS'!I38</f>
        <v>245164527.47094437</v>
      </c>
      <c r="J16" s="263">
        <f>'ESTADO DE RESULTADOS'!J38</f>
        <v>259827012.06617054</v>
      </c>
      <c r="K16" s="263">
        <f>'ESTADO DE RESULTADOS'!K38</f>
        <v>275057500.59639609</v>
      </c>
      <c r="L16" s="84">
        <f>'ESTADO DE RESULTADOS'!L38</f>
        <v>290865738.68129611</v>
      </c>
      <c r="M16" s="79"/>
      <c r="N16" s="594"/>
      <c r="O16" s="596"/>
      <c r="P16" s="79"/>
    </row>
    <row r="17" spans="1:16">
      <c r="A17" s="83" t="s">
        <v>2698</v>
      </c>
      <c r="B17" s="259">
        <f t="shared" ref="B17:L17" si="5">SUM(B14:B16)</f>
        <v>213289057.544424</v>
      </c>
      <c r="C17" s="259">
        <f t="shared" si="5"/>
        <v>381741756.40527076</v>
      </c>
      <c r="D17" s="259">
        <f t="shared" si="5"/>
        <v>561704319.34283638</v>
      </c>
      <c r="E17" s="259">
        <f t="shared" si="5"/>
        <v>753668615.87108719</v>
      </c>
      <c r="F17" s="259">
        <f t="shared" si="5"/>
        <v>958140558.80798888</v>
      </c>
      <c r="G17" s="259">
        <f t="shared" si="5"/>
        <v>1175639734.6706564</v>
      </c>
      <c r="H17" s="259">
        <f t="shared" si="5"/>
        <v>1406698916.4110346</v>
      </c>
      <c r="I17" s="259">
        <f t="shared" si="5"/>
        <v>1651863443.881979</v>
      </c>
      <c r="J17" s="259">
        <f t="shared" si="5"/>
        <v>1911690455.9481494</v>
      </c>
      <c r="K17" s="259">
        <f t="shared" si="5"/>
        <v>2186747956.5445457</v>
      </c>
      <c r="L17" s="100">
        <f t="shared" si="5"/>
        <v>2619806400.2554579</v>
      </c>
      <c r="M17" s="79"/>
      <c r="N17" s="594"/>
      <c r="O17" s="596"/>
      <c r="P17" s="79"/>
    </row>
    <row r="18" spans="1:16" ht="15" thickBot="1">
      <c r="A18" s="83" t="s">
        <v>2699</v>
      </c>
      <c r="B18" s="259">
        <f t="shared" ref="B18:L18" si="6">B17+B13</f>
        <v>355481762.57404</v>
      </c>
      <c r="C18" s="259">
        <f t="shared" si="6"/>
        <v>523934461.43488675</v>
      </c>
      <c r="D18" s="259">
        <f t="shared" si="6"/>
        <v>703897024.37245238</v>
      </c>
      <c r="E18" s="259">
        <f t="shared" si="6"/>
        <v>895861320.90070319</v>
      </c>
      <c r="F18" s="259">
        <f t="shared" si="6"/>
        <v>1100333263.837605</v>
      </c>
      <c r="G18" s="259">
        <f t="shared" si="6"/>
        <v>1317832439.7002726</v>
      </c>
      <c r="H18" s="259">
        <f t="shared" si="6"/>
        <v>1548891621.4406505</v>
      </c>
      <c r="I18" s="259">
        <f t="shared" si="6"/>
        <v>1794056148.9115949</v>
      </c>
      <c r="J18" s="259">
        <f t="shared" si="6"/>
        <v>2053883160.9777656</v>
      </c>
      <c r="K18" s="259">
        <f t="shared" si="6"/>
        <v>2328940661.5741615</v>
      </c>
      <c r="L18" s="100">
        <f t="shared" si="6"/>
        <v>2619806400.2554579</v>
      </c>
      <c r="M18" s="79"/>
      <c r="N18" s="597"/>
      <c r="O18" s="599"/>
      <c r="P18" s="79"/>
    </row>
    <row r="19" spans="1:16" ht="15" thickBot="1">
      <c r="A19" s="103" t="s">
        <v>2700</v>
      </c>
      <c r="B19" s="260">
        <f t="shared" ref="B19:L19" si="7">B10-B18</f>
        <v>0</v>
      </c>
      <c r="C19" s="260">
        <f t="shared" si="7"/>
        <v>0</v>
      </c>
      <c r="D19" s="260">
        <f t="shared" si="7"/>
        <v>0</v>
      </c>
      <c r="E19" s="260">
        <f t="shared" si="7"/>
        <v>0</v>
      </c>
      <c r="F19" s="260">
        <f t="shared" si="7"/>
        <v>0</v>
      </c>
      <c r="G19" s="260">
        <f t="shared" si="7"/>
        <v>0</v>
      </c>
      <c r="H19" s="260">
        <f t="shared" si="7"/>
        <v>0</v>
      </c>
      <c r="I19" s="260">
        <f t="shared" si="7"/>
        <v>0</v>
      </c>
      <c r="J19" s="260">
        <f t="shared" si="7"/>
        <v>0</v>
      </c>
      <c r="K19" s="260">
        <f t="shared" si="7"/>
        <v>0</v>
      </c>
      <c r="L19" s="261">
        <f t="shared" si="7"/>
        <v>0</v>
      </c>
      <c r="M19" s="79"/>
      <c r="N19" s="79"/>
      <c r="O19" s="79"/>
      <c r="P19" s="79"/>
    </row>
    <row r="20" spans="1:16" ht="15" thickBot="1">
      <c r="A20" s="79"/>
      <c r="B20" s="79"/>
      <c r="C20" s="79"/>
      <c r="D20" s="79"/>
      <c r="E20" s="79"/>
      <c r="F20" s="79"/>
      <c r="G20" s="79"/>
      <c r="H20" s="79"/>
      <c r="I20" s="79"/>
      <c r="J20" s="79"/>
      <c r="K20" s="79"/>
      <c r="L20" s="79"/>
      <c r="M20" s="79"/>
      <c r="N20" s="79"/>
      <c r="O20" s="79"/>
      <c r="P20" s="79"/>
    </row>
    <row r="21" spans="1:16" ht="14.5" customHeight="1">
      <c r="A21" s="831" t="s">
        <v>2701</v>
      </c>
      <c r="B21" s="606">
        <f>IF(B10=0,0,B7/B9)</f>
        <v>0</v>
      </c>
      <c r="C21" s="96"/>
      <c r="D21" s="497" t="s">
        <v>2702</v>
      </c>
      <c r="E21" s="498"/>
      <c r="F21" s="606">
        <f>IF(B10=0,0,B13/B18)</f>
        <v>0.4</v>
      </c>
      <c r="G21" s="96"/>
      <c r="H21" s="96"/>
      <c r="I21" s="96"/>
      <c r="J21" s="96"/>
      <c r="K21" s="96"/>
      <c r="L21" s="96"/>
      <c r="M21" s="79"/>
      <c r="N21" s="79"/>
      <c r="O21" s="79"/>
      <c r="P21" s="79"/>
    </row>
    <row r="22" spans="1:16" ht="15" customHeight="1" thickBot="1">
      <c r="A22" s="832"/>
      <c r="B22" s="607"/>
      <c r="C22" s="96"/>
      <c r="D22" s="499"/>
      <c r="E22" s="500"/>
      <c r="F22" s="607"/>
      <c r="G22" s="96"/>
      <c r="H22" s="96"/>
      <c r="I22" s="96"/>
      <c r="J22" s="96"/>
      <c r="K22" s="96"/>
      <c r="L22" s="96"/>
      <c r="M22" s="79"/>
      <c r="N22" s="79"/>
      <c r="O22" s="79"/>
      <c r="P22" s="79"/>
    </row>
    <row r="23" spans="1:16">
      <c r="A23" s="831" t="s">
        <v>2703</v>
      </c>
      <c r="B23" s="606">
        <f>IF(B10=0,0,B9/B10)</f>
        <v>1</v>
      </c>
      <c r="C23" s="79"/>
      <c r="D23" s="497" t="s">
        <v>2704</v>
      </c>
      <c r="E23" s="498"/>
      <c r="F23" s="606">
        <f>IF(B10=0,0,B17/B18)</f>
        <v>0.6</v>
      </c>
      <c r="G23" s="79"/>
      <c r="H23" s="79"/>
      <c r="I23" s="79"/>
      <c r="J23" s="79"/>
      <c r="K23" s="79"/>
      <c r="L23" s="79"/>
      <c r="M23" s="79"/>
      <c r="N23" s="79"/>
      <c r="O23" s="79"/>
      <c r="P23" s="79"/>
    </row>
    <row r="24" spans="1:16" ht="15" thickBot="1">
      <c r="A24" s="832"/>
      <c r="B24" s="607"/>
      <c r="C24" s="79"/>
      <c r="D24" s="499"/>
      <c r="E24" s="500"/>
      <c r="F24" s="607"/>
      <c r="G24" s="79"/>
      <c r="H24" s="79"/>
      <c r="I24" s="79"/>
      <c r="J24" s="79"/>
      <c r="K24" s="79"/>
      <c r="L24" s="79"/>
      <c r="M24" s="79"/>
      <c r="N24" s="79"/>
      <c r="O24" s="79"/>
      <c r="P24" s="79"/>
    </row>
    <row r="25" spans="1:16">
      <c r="A25" s="79"/>
      <c r="B25" s="79"/>
      <c r="C25" s="96"/>
      <c r="D25" s="96"/>
      <c r="E25" s="79"/>
      <c r="F25" s="79"/>
      <c r="G25" s="79"/>
      <c r="H25" s="79"/>
      <c r="I25" s="79"/>
      <c r="J25" s="79"/>
      <c r="K25" s="79"/>
      <c r="L25" s="79"/>
      <c r="M25" s="79"/>
      <c r="N25" s="79"/>
      <c r="O25" s="79"/>
      <c r="P25" s="79"/>
    </row>
    <row r="26" spans="1:16">
      <c r="A26" s="79"/>
      <c r="B26" s="79"/>
      <c r="C26" s="79"/>
      <c r="D26" s="79"/>
      <c r="E26" s="79"/>
      <c r="F26" s="79"/>
      <c r="G26" s="79"/>
      <c r="H26" s="79"/>
      <c r="I26" s="79"/>
      <c r="J26" s="79"/>
      <c r="K26" s="79"/>
      <c r="L26" s="79"/>
      <c r="M26" s="79"/>
      <c r="N26" s="79"/>
      <c r="O26" s="79"/>
      <c r="P26" s="79"/>
    </row>
    <row r="27" spans="1:16">
      <c r="A27" s="79"/>
      <c r="B27" s="79"/>
      <c r="C27" s="79"/>
      <c r="D27" s="96"/>
      <c r="E27" s="96"/>
      <c r="F27" s="79"/>
      <c r="G27" s="79"/>
      <c r="H27" s="79"/>
      <c r="I27" s="79"/>
      <c r="J27" s="79"/>
      <c r="K27" s="79"/>
      <c r="L27" s="79"/>
      <c r="M27" s="79"/>
      <c r="N27" s="79"/>
      <c r="O27" s="79"/>
      <c r="P27" s="79"/>
    </row>
    <row r="28" spans="1:16">
      <c r="A28" s="79"/>
      <c r="B28" s="96"/>
      <c r="C28" s="79"/>
      <c r="D28" s="96"/>
      <c r="E28" s="96"/>
      <c r="F28" s="79"/>
      <c r="G28" s="79"/>
      <c r="H28" s="79"/>
      <c r="I28" s="79"/>
      <c r="J28" s="79"/>
      <c r="K28" s="79"/>
      <c r="L28" s="79"/>
      <c r="M28" s="79"/>
      <c r="N28" s="79"/>
      <c r="O28" s="79"/>
      <c r="P28" s="79"/>
    </row>
    <row r="29" spans="1:16">
      <c r="A29" s="79"/>
      <c r="B29" s="79"/>
      <c r="C29" s="79"/>
      <c r="D29" s="79"/>
      <c r="E29" s="79"/>
      <c r="F29" s="79"/>
      <c r="G29" s="79"/>
      <c r="H29" s="79"/>
      <c r="I29" s="79"/>
      <c r="J29" s="79"/>
      <c r="K29" s="79"/>
      <c r="L29" s="79"/>
      <c r="M29" s="79"/>
      <c r="N29" s="79"/>
      <c r="O29" s="79"/>
      <c r="P29" s="79"/>
    </row>
    <row r="30" spans="1:16">
      <c r="A30" s="79"/>
      <c r="B30" s="79"/>
      <c r="C30" s="79"/>
      <c r="D30" s="79"/>
      <c r="E30" s="79"/>
      <c r="F30" s="79"/>
      <c r="G30" s="79"/>
      <c r="H30" s="79"/>
      <c r="I30" s="79"/>
      <c r="J30" s="79"/>
      <c r="K30" s="79"/>
      <c r="L30" s="79"/>
      <c r="M30" s="79"/>
      <c r="N30" s="79"/>
      <c r="O30" s="79"/>
      <c r="P30" s="79"/>
    </row>
    <row r="31" spans="1:16">
      <c r="A31" s="79"/>
      <c r="B31" s="79"/>
      <c r="C31" s="79"/>
      <c r="D31" s="79"/>
      <c r="E31" s="79"/>
      <c r="F31" s="79"/>
      <c r="G31" s="79"/>
      <c r="H31" s="79"/>
      <c r="I31" s="79"/>
      <c r="J31" s="79"/>
      <c r="K31" s="79"/>
      <c r="L31" s="79"/>
      <c r="M31" s="79"/>
      <c r="N31" s="79"/>
      <c r="O31" s="79"/>
      <c r="P31" s="79"/>
    </row>
    <row r="32" spans="1:16">
      <c r="A32" s="79"/>
      <c r="B32" s="79"/>
      <c r="C32" s="79"/>
      <c r="D32" s="79"/>
      <c r="E32" s="79"/>
      <c r="F32" s="79"/>
      <c r="G32" s="79"/>
      <c r="H32" s="79"/>
      <c r="I32" s="79"/>
      <c r="J32" s="79"/>
      <c r="K32" s="79"/>
      <c r="L32" s="79"/>
      <c r="M32" s="79"/>
      <c r="N32" s="79"/>
      <c r="O32" s="79"/>
      <c r="P32" s="79"/>
    </row>
  </sheetData>
  <mergeCells count="10">
    <mergeCell ref="F23:F24"/>
    <mergeCell ref="A1:O2"/>
    <mergeCell ref="N4:O18"/>
    <mergeCell ref="A21:A22"/>
    <mergeCell ref="B21:B22"/>
    <mergeCell ref="A23:A24"/>
    <mergeCell ref="B23:B24"/>
    <mergeCell ref="D21:E22"/>
    <mergeCell ref="D23:E24"/>
    <mergeCell ref="F21:F22"/>
  </mergeCells>
  <phoneticPr fontId="1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B6C6D-810C-4AC3-B17B-31A3E798FA59}">
  <dimension ref="A1:P75"/>
  <sheetViews>
    <sheetView topLeftCell="E51" workbookViewId="0">
      <selection activeCell="F74" sqref="F74"/>
    </sheetView>
  </sheetViews>
  <sheetFormatPr baseColWidth="10" defaultColWidth="11.453125" defaultRowHeight="14.5"/>
  <cols>
    <col min="1" max="1" width="0" hidden="1" customWidth="1"/>
    <col min="2" max="2" width="28.1796875" bestFit="1" customWidth="1"/>
    <col min="3" max="3" width="14" bestFit="1" customWidth="1"/>
    <col min="4" max="4" width="13" bestFit="1" customWidth="1"/>
    <col min="5" max="5" width="37.7265625" bestFit="1" customWidth="1"/>
    <col min="6" max="6" width="14" bestFit="1" customWidth="1"/>
    <col min="7" max="7" width="12.54296875" bestFit="1" customWidth="1"/>
    <col min="8" max="8" width="12.7265625" bestFit="1" customWidth="1"/>
    <col min="9" max="9" width="12.54296875" bestFit="1" customWidth="1"/>
    <col min="10" max="10" width="13" bestFit="1" customWidth="1"/>
    <col min="11" max="15" width="13.81640625" bestFit="1" customWidth="1"/>
  </cols>
  <sheetData>
    <row r="1" spans="1:15">
      <c r="B1" s="7" t="s">
        <v>2602</v>
      </c>
      <c r="C1" s="7" t="s">
        <v>2705</v>
      </c>
      <c r="D1" s="7" t="s">
        <v>2706</v>
      </c>
      <c r="E1" s="7" t="s">
        <v>2707</v>
      </c>
      <c r="F1" s="7" t="s">
        <v>2708</v>
      </c>
    </row>
    <row r="2" spans="1:15">
      <c r="B2" t="str">
        <f>DATOS!A403</f>
        <v>FINANCIACIÓN 1</v>
      </c>
      <c r="C2" s="8">
        <f>DATOS!B409</f>
        <v>142192705.029616</v>
      </c>
      <c r="D2" s="20">
        <f>DATOS!B410</f>
        <v>1.4999999999999999E-2</v>
      </c>
      <c r="E2" s="36">
        <f>IF($C$5=0,0,C2/$C$5)</f>
        <v>1</v>
      </c>
      <c r="F2" s="20">
        <f>E2*D2</f>
        <v>1.4999999999999999E-2</v>
      </c>
    </row>
    <row r="3" spans="1:15">
      <c r="B3" t="str">
        <f>DATOS!A431</f>
        <v>FINANCIACIÓN 2</v>
      </c>
      <c r="C3" s="8">
        <f>DATOS!B437</f>
        <v>0</v>
      </c>
      <c r="D3" s="18">
        <f>DATOS!B438</f>
        <v>0</v>
      </c>
      <c r="E3" s="36">
        <f>IF($C$5=0,0,C3/$C$5)</f>
        <v>0</v>
      </c>
      <c r="F3" s="20">
        <f>E3*D3</f>
        <v>0</v>
      </c>
    </row>
    <row r="4" spans="1:15">
      <c r="B4" t="str">
        <f>DATOS!A459</f>
        <v>FINANCIACIÓN 3</v>
      </c>
      <c r="C4" s="8">
        <f>DATOS!B464</f>
        <v>0</v>
      </c>
      <c r="D4" s="18">
        <f>DATOS!B465</f>
        <v>0</v>
      </c>
      <c r="E4" s="36">
        <f>IF($C$5=0,0,C4/$C$5)</f>
        <v>0</v>
      </c>
      <c r="F4" s="20">
        <f>E4*D4</f>
        <v>0</v>
      </c>
    </row>
    <row r="5" spans="1:15">
      <c r="B5" s="7" t="s">
        <v>2290</v>
      </c>
      <c r="C5" s="21">
        <f>SUM(C2:C4)</f>
        <v>142192705.029616</v>
      </c>
      <c r="E5" s="7" t="s">
        <v>2708</v>
      </c>
      <c r="F5" s="37">
        <f>SUM(F2:F4)</f>
        <v>1.4999999999999999E-2</v>
      </c>
    </row>
    <row r="6" spans="1:15">
      <c r="F6" s="8"/>
    </row>
    <row r="7" spans="1:15">
      <c r="B7" t="str">
        <f>DATOS!A409</f>
        <v>Monto de la financiación</v>
      </c>
      <c r="C7" s="3">
        <f>DATOS!B409</f>
        <v>142192705.029616</v>
      </c>
      <c r="E7" s="7" t="s">
        <v>2709</v>
      </c>
      <c r="F7" s="7" t="s">
        <v>2265</v>
      </c>
      <c r="G7" s="7" t="s">
        <v>2266</v>
      </c>
      <c r="H7" s="7" t="s">
        <v>2267</v>
      </c>
      <c r="I7" s="7" t="s">
        <v>2268</v>
      </c>
      <c r="J7" s="7" t="s">
        <v>2269</v>
      </c>
      <c r="K7" s="7" t="s">
        <v>2270</v>
      </c>
      <c r="L7" s="7" t="s">
        <v>2271</v>
      </c>
      <c r="M7" s="7" t="s">
        <v>2272</v>
      </c>
      <c r="N7" s="7" t="s">
        <v>2273</v>
      </c>
      <c r="O7" s="7" t="s">
        <v>2274</v>
      </c>
    </row>
    <row r="8" spans="1:15">
      <c r="B8" t="str">
        <f>DATOS!A410</f>
        <v>Tasa mensual</v>
      </c>
      <c r="C8" s="18">
        <f>DATOS!B410</f>
        <v>1.4999999999999999E-2</v>
      </c>
      <c r="D8" s="3"/>
      <c r="E8" t="s">
        <v>2705</v>
      </c>
      <c r="F8" s="8">
        <f>C7</f>
        <v>142192705.029616</v>
      </c>
      <c r="G8" s="8">
        <f t="shared" ref="G8:O8" si="0">F8-F10</f>
        <v>136595266.97462627</v>
      </c>
      <c r="H8" s="8">
        <f t="shared" si="0"/>
        <v>129902868.32245024</v>
      </c>
      <c r="I8" s="8">
        <f t="shared" si="0"/>
        <v>121901314.88324387</v>
      </c>
      <c r="J8" s="8">
        <f t="shared" si="0"/>
        <v>112334512.1914082</v>
      </c>
      <c r="K8" s="8">
        <f t="shared" si="0"/>
        <v>100896269.05026235</v>
      </c>
      <c r="L8" s="8">
        <f t="shared" si="0"/>
        <v>87220497.70111309</v>
      </c>
      <c r="M8" s="8">
        <f t="shared" si="0"/>
        <v>70869496.967317209</v>
      </c>
      <c r="N8" s="8">
        <f t="shared" si="0"/>
        <v>51319943.368409947</v>
      </c>
      <c r="O8" s="8">
        <f t="shared" si="0"/>
        <v>27946141.841595169</v>
      </c>
    </row>
    <row r="9" spans="1:15">
      <c r="B9" t="str">
        <f>DATOS!A411</f>
        <v>Plazo del crédito en meses</v>
      </c>
      <c r="C9" s="3">
        <f>DATOS!B411</f>
        <v>120</v>
      </c>
      <c r="E9" t="s">
        <v>2710</v>
      </c>
      <c r="F9" s="3">
        <f>IF(F8=0,0,-CUMIPMT($C8,$C9,$C7,1,12,0))</f>
        <v>25147786.974537171</v>
      </c>
      <c r="G9" s="3">
        <f>IF(G8=0,0,-CUMIPMT($C8,$C9,$C7,13,24,0))</f>
        <v>24052826.377350867</v>
      </c>
      <c r="H9" s="3">
        <f>IF(H8=0,0,-CUMIPMT($C8,$C9,$C7,25,36,0))</f>
        <v>22743671.59032055</v>
      </c>
      <c r="I9" s="3">
        <f>IF(I8=0,0,-CUMIPMT($C8,$C9,$C7,37,48,0))</f>
        <v>21178422.33769124</v>
      </c>
      <c r="J9" s="3">
        <f>IF(J8=0,0,-CUMIPMT($C8,$C9,$C7,49,60,0))</f>
        <v>19306981.888381049</v>
      </c>
      <c r="K9" s="3">
        <f>IF(K8=0,0,-CUMIPMT($C8,$C9,$C7,61,72,0))</f>
        <v>17069453.680377655</v>
      </c>
      <c r="L9" s="3">
        <f>IF(L8=0,0,-CUMIPMT($C8,$C9,$C7,73,84,0))</f>
        <v>14394224.295731025</v>
      </c>
      <c r="M9" s="3">
        <f>IF(M8=0,0,-CUMIPMT($C8,$C9,$C7,85,96,0))</f>
        <v>11195671.43061965</v>
      </c>
      <c r="N9" s="3">
        <f>IF(N8=0,0,-CUMIPMT($C8,$C9,$C7,97,108,0))</f>
        <v>7371423.5027121343</v>
      </c>
      <c r="O9" s="3">
        <f>IF(O8=0,0,-CUMIPMT($C8,$C9,$C7,109,120,0))</f>
        <v>2799083.1879317872</v>
      </c>
    </row>
    <row r="10" spans="1:15">
      <c r="A10" t="s">
        <v>2230</v>
      </c>
      <c r="B10" t="str">
        <f>DATOS!A412</f>
        <v>Fee Fondo Nacional de Garantías</v>
      </c>
      <c r="C10" s="18">
        <f>DATOS!B412</f>
        <v>0</v>
      </c>
      <c r="E10" t="s">
        <v>2695</v>
      </c>
      <c r="F10" s="3">
        <f>IF(F9=0,0,-CUMPRINC($C8,$C9,$C7,1,12,0))</f>
        <v>5597438.0549897384</v>
      </c>
      <c r="G10" s="3">
        <f>IF(G9=0,0,-CUMPRINC($C8,$C9,$C7,13,24,0))</f>
        <v>6692398.652176044</v>
      </c>
      <c r="H10" s="3">
        <f>IF(H9=0,0,-CUMPRINC($C8,$C9,$C7,25,36,0))</f>
        <v>8001553.4392063636</v>
      </c>
      <c r="I10" s="3">
        <f>IF(I9=0,0,-CUMPRINC($C8,$C9,$C7,37,48,0))</f>
        <v>9566802.6918356735</v>
      </c>
      <c r="J10" s="3">
        <f>IF(J9=0,0,-CUMPRINC($C8,$C9,$C7,49,60,0))</f>
        <v>11438243.141145861</v>
      </c>
      <c r="K10" s="3">
        <f>IF(K9=0,0,-CUMPRINC($C8,$C9,$C7,61,72,0))</f>
        <v>13675771.349149259</v>
      </c>
      <c r="L10" s="3">
        <f>IF(L9=0,0,-CUMPRINC($C8,$C9,$C7,73,84,0))</f>
        <v>16351000.733795887</v>
      </c>
      <c r="M10" s="3">
        <f>IF(M9=0,0,-CUMPRINC($C8,$C9,$C7,85,96,0))</f>
        <v>19549553.598907262</v>
      </c>
      <c r="N10" s="3">
        <f>IF(N9=0,0,-CUMPRINC($C8,$C9,$C7,97,108,0))</f>
        <v>23373801.526814777</v>
      </c>
      <c r="O10" s="3">
        <f>IF(O9=0,0,-CUMPRINC($C8,$C9,$C7,109,120,0))</f>
        <v>27946141.841595124</v>
      </c>
    </row>
    <row r="11" spans="1:15">
      <c r="A11" t="s">
        <v>2226</v>
      </c>
      <c r="B11" t="str">
        <f>DATOS!A425</f>
        <v>Opción de compra</v>
      </c>
      <c r="C11" s="18">
        <f>DATOS!B425</f>
        <v>0.1</v>
      </c>
      <c r="D11">
        <f>IF(DATOS!B406="SI",1,0)</f>
        <v>1</v>
      </c>
      <c r="E11" t="s">
        <v>2711</v>
      </c>
      <c r="F11" s="8">
        <f>SUM(F9:F10)</f>
        <v>30745225.029526912</v>
      </c>
      <c r="G11" s="8">
        <f t="shared" ref="G11" si="1">SUM(G9:G10)</f>
        <v>30745225.029526912</v>
      </c>
      <c r="H11" s="8">
        <f t="shared" ref="H11" si="2">SUM(H9:H10)</f>
        <v>30745225.029526912</v>
      </c>
      <c r="I11" s="8">
        <f t="shared" ref="I11" si="3">SUM(I9:I10)</f>
        <v>30745225.029526912</v>
      </c>
      <c r="J11" s="8">
        <f t="shared" ref="J11" si="4">SUM(J9:J10)</f>
        <v>30745225.029526912</v>
      </c>
      <c r="K11" s="8">
        <f t="shared" ref="K11" si="5">SUM(K9:K10)</f>
        <v>30745225.029526912</v>
      </c>
      <c r="L11" s="8">
        <f t="shared" ref="L11" si="6">SUM(L9:L10)</f>
        <v>30745225.029526912</v>
      </c>
      <c r="M11" s="8">
        <f t="shared" ref="M11" si="7">SUM(M9:M10)</f>
        <v>30745225.029526912</v>
      </c>
      <c r="N11" s="8">
        <f t="shared" ref="N11" si="8">SUM(N9:N10)</f>
        <v>30745225.029526912</v>
      </c>
      <c r="O11" s="8">
        <f t="shared" ref="O11" si="9">SUM(O9:O10)</f>
        <v>30745225.029526912</v>
      </c>
    </row>
    <row r="12" spans="1:15">
      <c r="B12" t="str">
        <f>DATOS!A427</f>
        <v>Valor de salvamento al final</v>
      </c>
      <c r="C12" s="3">
        <f>DATOS!B427</f>
        <v>14219270.5029616</v>
      </c>
      <c r="E12" t="s">
        <v>2712</v>
      </c>
      <c r="F12" s="3">
        <f>DATOS!B414</f>
        <v>0</v>
      </c>
      <c r="G12" s="3">
        <f>DATOS!B415</f>
        <v>0</v>
      </c>
      <c r="H12" s="3">
        <f>DATOS!B416</f>
        <v>0</v>
      </c>
      <c r="I12" s="3">
        <f>DATOS!B417</f>
        <v>0</v>
      </c>
      <c r="J12" s="3">
        <f>DATOS!B418</f>
        <v>0</v>
      </c>
      <c r="K12" s="3">
        <f>DATOS!B419</f>
        <v>0</v>
      </c>
      <c r="L12" s="3">
        <f>DATOS!B420</f>
        <v>0</v>
      </c>
      <c r="M12" s="3">
        <f>DATOS!B421</f>
        <v>0</v>
      </c>
      <c r="N12" s="3">
        <f>DATOS!B422</f>
        <v>0</v>
      </c>
      <c r="O12" s="3">
        <f>DATOS!B423</f>
        <v>0</v>
      </c>
    </row>
    <row r="13" spans="1:15">
      <c r="B13" t="str">
        <f>DATOS!A428</f>
        <v>Valor de salvamento al inicio</v>
      </c>
      <c r="C13" s="3">
        <f>DATOS!B428</f>
        <v>2382057.5309963152</v>
      </c>
      <c r="E13" t="s">
        <v>2713</v>
      </c>
      <c r="F13" s="3">
        <f>IF($C9=12,$C12,0)</f>
        <v>0</v>
      </c>
      <c r="G13" s="3">
        <f>IF($C9=24,$C12,0)</f>
        <v>0</v>
      </c>
      <c r="H13" s="3">
        <f>IF($C9=36,$C12,0)</f>
        <v>0</v>
      </c>
      <c r="I13" s="3">
        <f>IF($C9=48,$C12,0)</f>
        <v>0</v>
      </c>
      <c r="J13" s="3">
        <f>IF($C9=60,$C12,0)</f>
        <v>0</v>
      </c>
      <c r="K13" s="3">
        <f>IF($C9=72,$C12,0)</f>
        <v>0</v>
      </c>
      <c r="L13" s="3">
        <f>IF($C9=84,$C12,0)</f>
        <v>0</v>
      </c>
      <c r="M13" s="3">
        <f>IF($C9=96,$C12,0)</f>
        <v>0</v>
      </c>
      <c r="N13" s="3">
        <f>IF($C9=108,$C12,0)</f>
        <v>0</v>
      </c>
      <c r="O13" s="3">
        <f>IF($C9=120,$C12,0)</f>
        <v>14219270.5029616</v>
      </c>
    </row>
    <row r="14" spans="1:15">
      <c r="B14" t="str">
        <f>DATOS!A429</f>
        <v>Cuota fija a pagar</v>
      </c>
      <c r="C14" s="3">
        <f>DATOS!B429</f>
        <v>2519180.9347589416</v>
      </c>
    </row>
    <row r="15" spans="1:15">
      <c r="C15" s="3"/>
    </row>
    <row r="16" spans="1:15">
      <c r="E16">
        <v>1</v>
      </c>
      <c r="F16">
        <v>12</v>
      </c>
      <c r="G16">
        <v>24</v>
      </c>
      <c r="H16">
        <v>36</v>
      </c>
      <c r="I16">
        <v>48</v>
      </c>
      <c r="J16">
        <v>60</v>
      </c>
      <c r="K16">
        <v>72</v>
      </c>
      <c r="L16">
        <v>84</v>
      </c>
      <c r="M16">
        <v>96</v>
      </c>
      <c r="N16">
        <v>108</v>
      </c>
      <c r="O16">
        <v>120</v>
      </c>
    </row>
    <row r="17" spans="2:15">
      <c r="B17" s="3" t="str">
        <f>DATOS!A437</f>
        <v>Monto de la financiación</v>
      </c>
      <c r="C17" s="3">
        <f>DATOS!B437</f>
        <v>0</v>
      </c>
      <c r="E17" s="7" t="s">
        <v>2709</v>
      </c>
      <c r="F17" s="7" t="s">
        <v>2265</v>
      </c>
      <c r="G17" s="7" t="s">
        <v>2266</v>
      </c>
      <c r="H17" s="7" t="s">
        <v>2267</v>
      </c>
      <c r="I17" s="7" t="s">
        <v>2268</v>
      </c>
      <c r="J17" s="7" t="s">
        <v>2269</v>
      </c>
      <c r="K17" s="7" t="s">
        <v>2270</v>
      </c>
      <c r="L17" s="7" t="s">
        <v>2271</v>
      </c>
      <c r="M17" s="7" t="s">
        <v>2272</v>
      </c>
      <c r="N17" s="7" t="s">
        <v>2273</v>
      </c>
      <c r="O17" s="7" t="s">
        <v>2274</v>
      </c>
    </row>
    <row r="18" spans="2:15">
      <c r="B18" s="3" t="str">
        <f>DATOS!A438</f>
        <v>Tasa mensual</v>
      </c>
      <c r="C18" s="18">
        <f>DATOS!B438</f>
        <v>0</v>
      </c>
      <c r="D18" s="3"/>
      <c r="E18" t="s">
        <v>2705</v>
      </c>
      <c r="F18" s="8">
        <f>C17</f>
        <v>0</v>
      </c>
      <c r="G18" s="8">
        <f t="shared" ref="G18:O18" si="10">F18-F20</f>
        <v>0</v>
      </c>
      <c r="H18" s="8">
        <f t="shared" si="10"/>
        <v>0</v>
      </c>
      <c r="I18" s="8">
        <f t="shared" si="10"/>
        <v>0</v>
      </c>
      <c r="J18" s="8">
        <f t="shared" si="10"/>
        <v>0</v>
      </c>
      <c r="K18" s="8">
        <f t="shared" si="10"/>
        <v>0</v>
      </c>
      <c r="L18" s="8">
        <f t="shared" si="10"/>
        <v>0</v>
      </c>
      <c r="M18" s="8">
        <f t="shared" si="10"/>
        <v>0</v>
      </c>
      <c r="N18" s="8">
        <f t="shared" si="10"/>
        <v>0</v>
      </c>
      <c r="O18" s="8">
        <f t="shared" si="10"/>
        <v>0</v>
      </c>
    </row>
    <row r="19" spans="2:15">
      <c r="B19" s="3" t="str">
        <f>DATOS!A439</f>
        <v>Plazo del crédito en meses</v>
      </c>
      <c r="C19" s="3">
        <f>DATOS!B439</f>
        <v>0</v>
      </c>
      <c r="D19" s="8"/>
      <c r="E19" t="s">
        <v>2710</v>
      </c>
      <c r="F19" s="3">
        <f>IF(F18=0,0,-CUMIPMT($C18,$C19,$C17,1,12,0))</f>
        <v>0</v>
      </c>
      <c r="G19" s="3">
        <f>IF(G18=0,0,-CUMIPMT($C18,$C19,$C17,13,24,0))</f>
        <v>0</v>
      </c>
      <c r="H19" s="3">
        <f>IF(H18=0,0,-CUMIPMT($C18,$C19,$C17,25,36,0))</f>
        <v>0</v>
      </c>
      <c r="I19" s="3">
        <f>IF(I18=0,0,-CUMIPMT($C18,$C19,$C17,37,48,0))</f>
        <v>0</v>
      </c>
      <c r="J19" s="3">
        <f>IF(J18=0,0,-CUMIPMT($C18,$C19,$C17,49,60,0))</f>
        <v>0</v>
      </c>
      <c r="K19" s="3">
        <f>IF(K18=0,0,-CUMIPMT($C18,$C19,$C17,61,72,0))</f>
        <v>0</v>
      </c>
      <c r="L19" s="3">
        <f>IF(L18=0,0,-CUMIPMT($C18,$C19,$C17,73,84,0))</f>
        <v>0</v>
      </c>
      <c r="M19" s="3">
        <f>IF(M18=0,0,-CUMIPMT($C18,$C19,$C17,85,96,0))</f>
        <v>0</v>
      </c>
      <c r="N19" s="3">
        <f>IF(N18=0,0,-CUMIPMT($C18,$C19,$C17,97,108,0))</f>
        <v>0</v>
      </c>
      <c r="O19" s="3">
        <f>IF(O18=0,0,-CUMIPMT($C18,$C19,$C17,109,120,0))</f>
        <v>0</v>
      </c>
    </row>
    <row r="20" spans="2:15">
      <c r="B20" s="3" t="str">
        <f>DATOS!A440</f>
        <v>Fee Fondo Nacional de Garantías</v>
      </c>
      <c r="C20" s="18">
        <f>DATOS!B440</f>
        <v>0</v>
      </c>
      <c r="E20" t="s">
        <v>2695</v>
      </c>
      <c r="F20" s="3">
        <f>IF(F19=0,0,-CUMPRINC($C18,$C19,$C17,1,12,0))</f>
        <v>0</v>
      </c>
      <c r="G20" s="3">
        <f>IF(G19=0,0,-CUMPRINC($C18,$C19,$C17,13,24,0))</f>
        <v>0</v>
      </c>
      <c r="H20" s="3">
        <f>IF(H19=0,0,-CUMPRINC($C18,$C19,$C17,25,36,0))</f>
        <v>0</v>
      </c>
      <c r="I20" s="3">
        <f>IF(I19=0,0,-CUMPRINC($C18,$C19,$C17,37,48,0))</f>
        <v>0</v>
      </c>
      <c r="J20" s="3">
        <f>IF(J19=0,0,-CUMPRINC($C18,$C19,$C17,49,60,0))</f>
        <v>0</v>
      </c>
      <c r="K20" s="3">
        <f>IF(K19=0,0,-CUMPRINC($C18,$C19,$C17,61,72,0))</f>
        <v>0</v>
      </c>
      <c r="L20" s="3">
        <f>IF(L19=0,0,-CUMPRINC($C18,$C19,$C17,73,84,0))</f>
        <v>0</v>
      </c>
      <c r="M20" s="3">
        <f>IF(M19=0,0,-CUMPRINC($C18,$C19,$C17,85,96,0))</f>
        <v>0</v>
      </c>
      <c r="N20" s="3">
        <f>IF(N19=0,0,-CUMPRINC($C18,$C19,$C17,97,108,0))</f>
        <v>0</v>
      </c>
      <c r="O20" s="3">
        <f>IF(O19=0,0,-CUMPRINC($C18,$C19,$C17,109,120,0))</f>
        <v>0</v>
      </c>
    </row>
    <row r="21" spans="2:15">
      <c r="B21" s="3" t="str">
        <f>DATOS!A453</f>
        <v>Opción de compra</v>
      </c>
      <c r="C21" s="18">
        <f>DATOS!B453</f>
        <v>0</v>
      </c>
      <c r="D21">
        <f>IF(DATOS!B434="SI",1,0)</f>
        <v>0</v>
      </c>
      <c r="E21" t="s">
        <v>2711</v>
      </c>
      <c r="F21" s="8">
        <f>SUM(F19:F20)</f>
        <v>0</v>
      </c>
      <c r="G21" s="8">
        <f t="shared" ref="G21" si="11">SUM(G19:G20)</f>
        <v>0</v>
      </c>
      <c r="H21" s="8">
        <f t="shared" ref="H21" si="12">SUM(H19:H20)</f>
        <v>0</v>
      </c>
      <c r="I21" s="8">
        <f t="shared" ref="I21" si="13">SUM(I19:I20)</f>
        <v>0</v>
      </c>
      <c r="J21" s="8">
        <f t="shared" ref="J21" si="14">SUM(J19:J20)</f>
        <v>0</v>
      </c>
      <c r="K21" s="8">
        <f t="shared" ref="K21" si="15">SUM(K19:K20)</f>
        <v>0</v>
      </c>
      <c r="L21" s="8">
        <f t="shared" ref="L21" si="16">SUM(L19:L20)</f>
        <v>0</v>
      </c>
      <c r="M21" s="8">
        <f t="shared" ref="M21" si="17">SUM(M19:M20)</f>
        <v>0</v>
      </c>
      <c r="N21" s="8">
        <f t="shared" ref="N21" si="18">SUM(N19:N20)</f>
        <v>0</v>
      </c>
      <c r="O21" s="8">
        <f t="shared" ref="O21" si="19">SUM(O19:O20)</f>
        <v>0</v>
      </c>
    </row>
    <row r="22" spans="2:15">
      <c r="B22" s="3" t="str">
        <f>DATOS!A455</f>
        <v>Valor de salvamento al final</v>
      </c>
      <c r="C22" s="3">
        <f>DATOS!B455</f>
        <v>0</v>
      </c>
      <c r="E22" t="s">
        <v>2712</v>
      </c>
      <c r="F22" s="3">
        <f>DATOS!B442</f>
        <v>0</v>
      </c>
      <c r="G22" s="3">
        <f>DATOS!B443</f>
        <v>0</v>
      </c>
      <c r="H22" s="3">
        <f>DATOS!B444</f>
        <v>0</v>
      </c>
      <c r="I22" s="3">
        <f>DATOS!B445</f>
        <v>0</v>
      </c>
      <c r="J22" s="3">
        <f>DATOS!B446</f>
        <v>0</v>
      </c>
      <c r="K22" s="3">
        <f>DATOS!B447</f>
        <v>0</v>
      </c>
      <c r="L22" s="3">
        <f>DATOS!B448</f>
        <v>0</v>
      </c>
      <c r="M22" s="3">
        <f>DATOS!B449</f>
        <v>0</v>
      </c>
      <c r="N22" s="3">
        <f>DATOS!B450</f>
        <v>0</v>
      </c>
      <c r="O22" s="3">
        <f>DATOS!B451</f>
        <v>0</v>
      </c>
    </row>
    <row r="23" spans="2:15">
      <c r="B23" s="3" t="str">
        <f>DATOS!A456</f>
        <v>Valor de salvamento al inicio</v>
      </c>
      <c r="C23" s="3">
        <f>DATOS!B456</f>
        <v>0</v>
      </c>
      <c r="E23" t="s">
        <v>2713</v>
      </c>
      <c r="F23" s="3">
        <f>IF($C19=12,$C22,0)</f>
        <v>0</v>
      </c>
      <c r="G23" s="3">
        <f>IF($C19=24,$C22,0)</f>
        <v>0</v>
      </c>
      <c r="H23" s="3">
        <f>IF($C19=36,$C22,0)</f>
        <v>0</v>
      </c>
      <c r="I23" s="3">
        <f>IF($C19=48,$C22,0)</f>
        <v>0</v>
      </c>
      <c r="J23" s="3">
        <f>IF($C19=60,$C22,0)</f>
        <v>0</v>
      </c>
      <c r="K23" s="3">
        <f>IF($C19=72,$C22,0)</f>
        <v>0</v>
      </c>
      <c r="L23" s="3">
        <f>IF($C19=84,$C22,0)</f>
        <v>0</v>
      </c>
      <c r="M23" s="3">
        <f>IF($C19=96,$C22,0)</f>
        <v>0</v>
      </c>
      <c r="N23" s="3">
        <f>IF($C19=108,$C22,0)</f>
        <v>0</v>
      </c>
      <c r="O23" s="3">
        <f>IF($C19=120,$C22,0)</f>
        <v>0</v>
      </c>
    </row>
    <row r="24" spans="2:15">
      <c r="B24" s="3" t="str">
        <f>DATOS!A457</f>
        <v>Cuota fija a pagar</v>
      </c>
      <c r="C24" s="3" t="str">
        <f>DATOS!B457</f>
        <v xml:space="preserve"> </v>
      </c>
    </row>
    <row r="25" spans="2:15">
      <c r="B25" s="3"/>
      <c r="C25" s="3"/>
      <c r="F25" s="8"/>
      <c r="H25" s="8"/>
    </row>
    <row r="27" spans="2:15">
      <c r="B27" t="str">
        <f>DATOS!A464</f>
        <v>Monto de la financiación</v>
      </c>
      <c r="C27" s="3">
        <f>DATOS!B464-C33</f>
        <v>0</v>
      </c>
      <c r="E27" s="7" t="s">
        <v>2709</v>
      </c>
      <c r="F27" s="7" t="s">
        <v>2265</v>
      </c>
      <c r="G27" s="7" t="s">
        <v>2266</v>
      </c>
      <c r="H27" s="7" t="s">
        <v>2267</v>
      </c>
      <c r="I27" s="7" t="s">
        <v>2268</v>
      </c>
      <c r="J27" s="7" t="s">
        <v>2269</v>
      </c>
      <c r="K27" s="7" t="s">
        <v>2270</v>
      </c>
      <c r="L27" s="7" t="s">
        <v>2271</v>
      </c>
      <c r="M27" s="7" t="s">
        <v>2272</v>
      </c>
      <c r="N27" s="7" t="s">
        <v>2273</v>
      </c>
      <c r="O27" s="7" t="s">
        <v>2274</v>
      </c>
    </row>
    <row r="28" spans="2:15">
      <c r="B28" t="str">
        <f>DATOS!A465</f>
        <v>Tasa mensual</v>
      </c>
      <c r="C28" s="18">
        <f>DATOS!B465</f>
        <v>0</v>
      </c>
      <c r="E28" t="s">
        <v>2705</v>
      </c>
      <c r="F28" s="8">
        <f>C27</f>
        <v>0</v>
      </c>
      <c r="G28" s="8">
        <f t="shared" ref="G28:O28" si="20">F28-F30</f>
        <v>0</v>
      </c>
      <c r="H28" s="8">
        <f t="shared" si="20"/>
        <v>0</v>
      </c>
      <c r="I28" s="8">
        <f t="shared" si="20"/>
        <v>0</v>
      </c>
      <c r="J28" s="8">
        <f t="shared" si="20"/>
        <v>0</v>
      </c>
      <c r="K28" s="8">
        <f t="shared" si="20"/>
        <v>0</v>
      </c>
      <c r="L28" s="8">
        <f t="shared" si="20"/>
        <v>0</v>
      </c>
      <c r="M28" s="8">
        <f t="shared" si="20"/>
        <v>0</v>
      </c>
      <c r="N28" s="8">
        <f t="shared" si="20"/>
        <v>0</v>
      </c>
      <c r="O28" s="8">
        <f t="shared" si="20"/>
        <v>0</v>
      </c>
    </row>
    <row r="29" spans="2:15">
      <c r="B29" t="str">
        <f>DATOS!A466</f>
        <v>Plazo del crédito en meses</v>
      </c>
      <c r="C29" s="3">
        <f>DATOS!B466</f>
        <v>0</v>
      </c>
      <c r="E29" t="s">
        <v>2710</v>
      </c>
      <c r="F29" s="3">
        <f>IF(F28=0,0,-CUMIPMT($C28,$C29,$C27,1,12,0))</f>
        <v>0</v>
      </c>
      <c r="G29" s="3">
        <f>IF(G28=0,0,-CUMIPMT($C28,$C29,$C27,13,24,0))</f>
        <v>0</v>
      </c>
      <c r="H29" s="3">
        <f>IF(H28=0,0,-CUMIPMT($C28,$C29,$C27,25,36,0))</f>
        <v>0</v>
      </c>
      <c r="I29" s="3">
        <f>IF(I28=0,0,-CUMIPMT($C28,$C29,$C27,37,48,0))</f>
        <v>0</v>
      </c>
      <c r="J29" s="3">
        <f>IF(J28=0,0,-CUMIPMT($C28,$C29,$C27,49,60,0))</f>
        <v>0</v>
      </c>
      <c r="K29" s="3">
        <f>IF(K28=0,0,-CUMIPMT($C28,$C29,$C27,61,72,0))</f>
        <v>0</v>
      </c>
      <c r="L29" s="3">
        <f>IF(L28=0,0,-CUMIPMT($C28,$C29,$C27,73,84,0))</f>
        <v>0</v>
      </c>
      <c r="M29" s="3">
        <f>IF(M28=0,0,-CUMIPMT($C28,$C29,$C27,85,96,0))</f>
        <v>0</v>
      </c>
      <c r="N29" s="3">
        <f>IF(N28=0,0,-CUMIPMT($C28,$C29,$C27,97,108,0))</f>
        <v>0</v>
      </c>
      <c r="O29" s="3">
        <f>IF(O28=0,0,-CUMIPMT($C28,$C29,$C27,109,120,0))</f>
        <v>0</v>
      </c>
    </row>
    <row r="30" spans="2:15">
      <c r="B30" t="str">
        <f>DATOS!A467</f>
        <v>Fee Fondo Nacional de Garantías</v>
      </c>
      <c r="C30" s="18">
        <f>DATOS!B467</f>
        <v>0</v>
      </c>
      <c r="E30" t="s">
        <v>2695</v>
      </c>
      <c r="F30" s="3">
        <f>IF(F29=0,0,-CUMPRINC($C28,$C29,$C27,1,12,0))</f>
        <v>0</v>
      </c>
      <c r="G30" s="3">
        <f>IF(G29=0,0,-CUMPRINC($C28,$C29,$C27,13,24,0))</f>
        <v>0</v>
      </c>
      <c r="H30" s="3">
        <f>IF(H29=0,0,-CUMPRINC($C28,$C29,$C27,25,36,0))</f>
        <v>0</v>
      </c>
      <c r="I30" s="3">
        <f>IF(I29=0,0,-CUMPRINC($C28,$C29,$C27,37,48,0))</f>
        <v>0</v>
      </c>
      <c r="J30" s="3">
        <f>IF(J29=0,0,-CUMPRINC($C28,$C29,$C27,49,60,0))</f>
        <v>0</v>
      </c>
      <c r="K30" s="3">
        <f>IF(K29=0,0,-CUMPRINC($C28,$C29,$C27,61,72,0))</f>
        <v>0</v>
      </c>
      <c r="L30" s="3">
        <f>IF(L29=0,0,-CUMPRINC($C28,$C29,$C27,73,84,0))</f>
        <v>0</v>
      </c>
      <c r="M30" s="3">
        <f>IF(M29=0,0,-CUMPRINC($C28,$C29,$C27,85,96,0))</f>
        <v>0</v>
      </c>
      <c r="N30" s="3">
        <f>IF(N29=0,0,-CUMPRINC($C28,$C29,$C27,97,108,0))</f>
        <v>0</v>
      </c>
      <c r="O30" s="3">
        <f>IF(O29=0,0,-CUMPRINC($C28,$C29,$C27,109,120,0))</f>
        <v>0</v>
      </c>
    </row>
    <row r="31" spans="2:15">
      <c r="B31" t="str">
        <f>DATOS!A480</f>
        <v>Opción de compra</v>
      </c>
      <c r="C31" s="18">
        <f>DATOS!B480</f>
        <v>0</v>
      </c>
      <c r="D31">
        <f>IF(DATOS!B461="SI",1,0)</f>
        <v>0</v>
      </c>
      <c r="E31" t="s">
        <v>2711</v>
      </c>
      <c r="F31" s="8">
        <f>SUM(F29:F30)</f>
        <v>0</v>
      </c>
      <c r="G31" s="8">
        <f t="shared" ref="G31:O31" si="21">SUM(G29:G30)</f>
        <v>0</v>
      </c>
      <c r="H31" s="8">
        <f t="shared" si="21"/>
        <v>0</v>
      </c>
      <c r="I31" s="8">
        <f t="shared" si="21"/>
        <v>0</v>
      </c>
      <c r="J31" s="8">
        <f t="shared" si="21"/>
        <v>0</v>
      </c>
      <c r="K31" s="8">
        <f t="shared" si="21"/>
        <v>0</v>
      </c>
      <c r="L31" s="8">
        <f t="shared" si="21"/>
        <v>0</v>
      </c>
      <c r="M31" s="8">
        <f t="shared" si="21"/>
        <v>0</v>
      </c>
      <c r="N31" s="8">
        <f t="shared" si="21"/>
        <v>0</v>
      </c>
      <c r="O31" s="8">
        <f t="shared" si="21"/>
        <v>0</v>
      </c>
    </row>
    <row r="32" spans="2:15">
      <c r="B32" t="str">
        <f>DATOS!A482</f>
        <v>Valor de salvamento al final</v>
      </c>
      <c r="C32" s="3">
        <f>DATOS!B482</f>
        <v>0</v>
      </c>
      <c r="E32" t="s">
        <v>2712</v>
      </c>
      <c r="F32" s="3">
        <f>DATOS!B469</f>
        <v>0</v>
      </c>
      <c r="G32" s="3">
        <f>DATOS!B470</f>
        <v>0</v>
      </c>
      <c r="H32" s="3">
        <f>DATOS!B471</f>
        <v>0</v>
      </c>
      <c r="I32" s="3">
        <f>DATOS!B472</f>
        <v>0</v>
      </c>
      <c r="J32" s="3">
        <f>DATOS!B473</f>
        <v>0</v>
      </c>
      <c r="K32" s="3">
        <f>DATOS!B474</f>
        <v>0</v>
      </c>
      <c r="L32" s="3">
        <f>DATOS!B475</f>
        <v>0</v>
      </c>
      <c r="M32" s="3">
        <f>DATOS!B476</f>
        <v>0</v>
      </c>
      <c r="N32" s="3">
        <f>DATOS!B477</f>
        <v>0</v>
      </c>
      <c r="O32" s="3">
        <f>DATOS!B478</f>
        <v>0</v>
      </c>
    </row>
    <row r="33" spans="2:15">
      <c r="B33" t="str">
        <f>DATOS!A483</f>
        <v>Valor de salvamento al inicio</v>
      </c>
      <c r="C33" s="3">
        <f>DATOS!B483</f>
        <v>0</v>
      </c>
      <c r="E33" t="s">
        <v>2713</v>
      </c>
      <c r="F33" s="3">
        <f>IF($C29=12,$C32,0)</f>
        <v>0</v>
      </c>
      <c r="G33" s="3">
        <f>IF($C29=24,$C32,0)</f>
        <v>0</v>
      </c>
      <c r="H33" s="3">
        <f>IF($C29=36,$C32,0)</f>
        <v>0</v>
      </c>
      <c r="I33" s="3">
        <f>IF($C29=48,$C32,0)</f>
        <v>0</v>
      </c>
      <c r="J33" s="3">
        <f>IF($C29=60,$C32,0)</f>
        <v>0</v>
      </c>
      <c r="K33" s="3">
        <f>IF($C29=72,$C32,0)</f>
        <v>0</v>
      </c>
      <c r="L33" s="3">
        <f>IF($C29=84,$C32,0)</f>
        <v>0</v>
      </c>
      <c r="M33" s="3">
        <f>IF($C29=96,$C32,0)</f>
        <v>0</v>
      </c>
      <c r="N33" s="3">
        <f>IF($C29=108,$C32,0)</f>
        <v>0</v>
      </c>
      <c r="O33" s="3">
        <f>IF($C29=120,$C32,0)</f>
        <v>0</v>
      </c>
    </row>
    <row r="34" spans="2:15">
      <c r="B34" t="str">
        <f>DATOS!A484</f>
        <v>Cuota fija a pagar</v>
      </c>
      <c r="C34" s="3" t="str">
        <f>DATOS!B484</f>
        <v xml:space="preserve"> </v>
      </c>
      <c r="F34" s="8"/>
    </row>
    <row r="35" spans="2:15">
      <c r="C35" s="3"/>
      <c r="E35" s="7" t="s">
        <v>2709</v>
      </c>
      <c r="F35" s="7" t="s">
        <v>2265</v>
      </c>
      <c r="G35" s="7" t="s">
        <v>2266</v>
      </c>
      <c r="H35" s="7" t="s">
        <v>2267</v>
      </c>
      <c r="I35" s="7" t="s">
        <v>2268</v>
      </c>
      <c r="J35" s="7" t="s">
        <v>2269</v>
      </c>
      <c r="K35" s="7" t="s">
        <v>2270</v>
      </c>
      <c r="L35" s="7" t="s">
        <v>2271</v>
      </c>
      <c r="M35" s="7" t="s">
        <v>2272</v>
      </c>
      <c r="N35" s="7" t="s">
        <v>2273</v>
      </c>
      <c r="O35" s="7" t="s">
        <v>2274</v>
      </c>
    </row>
    <row r="36" spans="2:15">
      <c r="E36" t="s">
        <v>2714</v>
      </c>
      <c r="F36" s="3">
        <f t="shared" ref="F36:O36" si="22">IF(SUM(F13:O13)&lt;&gt;0,F11,0)</f>
        <v>30745225.029526912</v>
      </c>
      <c r="G36" s="3">
        <f t="shared" si="22"/>
        <v>30745225.029526912</v>
      </c>
      <c r="H36" s="3">
        <f t="shared" si="22"/>
        <v>30745225.029526912</v>
      </c>
      <c r="I36" s="3">
        <f t="shared" si="22"/>
        <v>30745225.029526912</v>
      </c>
      <c r="J36" s="3">
        <f t="shared" si="22"/>
        <v>30745225.029526912</v>
      </c>
      <c r="K36" s="3">
        <f t="shared" si="22"/>
        <v>30745225.029526912</v>
      </c>
      <c r="L36" s="3">
        <f t="shared" si="22"/>
        <v>30745225.029526912</v>
      </c>
      <c r="M36" s="3">
        <f t="shared" si="22"/>
        <v>30745225.029526912</v>
      </c>
      <c r="N36" s="3">
        <f t="shared" si="22"/>
        <v>30745225.029526912</v>
      </c>
      <c r="O36" s="3">
        <f t="shared" si="22"/>
        <v>30745225.029526912</v>
      </c>
    </row>
    <row r="37" spans="2:15">
      <c r="E37" t="s">
        <v>2715</v>
      </c>
      <c r="F37" s="3">
        <f t="shared" ref="F37:O37" si="23">IF(SUM(F23:O23)&lt;&gt;0,F21,0)</f>
        <v>0</v>
      </c>
      <c r="G37" s="3">
        <f t="shared" si="23"/>
        <v>0</v>
      </c>
      <c r="H37" s="3">
        <f t="shared" si="23"/>
        <v>0</v>
      </c>
      <c r="I37" s="3">
        <f t="shared" si="23"/>
        <v>0</v>
      </c>
      <c r="J37" s="3">
        <f t="shared" si="23"/>
        <v>0</v>
      </c>
      <c r="K37" s="3">
        <f t="shared" si="23"/>
        <v>0</v>
      </c>
      <c r="L37" s="3">
        <f t="shared" si="23"/>
        <v>0</v>
      </c>
      <c r="M37" s="3">
        <f t="shared" si="23"/>
        <v>0</v>
      </c>
      <c r="N37" s="3">
        <f t="shared" si="23"/>
        <v>0</v>
      </c>
      <c r="O37" s="3">
        <f t="shared" si="23"/>
        <v>0</v>
      </c>
    </row>
    <row r="38" spans="2:15">
      <c r="E38" t="s">
        <v>2716</v>
      </c>
      <c r="F38" s="3">
        <f t="shared" ref="F38:O38" si="24">IF(SUM(F33:O33)&lt;&gt;0,F31,0)</f>
        <v>0</v>
      </c>
      <c r="G38" s="3">
        <f t="shared" si="24"/>
        <v>0</v>
      </c>
      <c r="H38" s="3">
        <f t="shared" si="24"/>
        <v>0</v>
      </c>
      <c r="I38" s="3">
        <f t="shared" si="24"/>
        <v>0</v>
      </c>
      <c r="J38" s="3">
        <f t="shared" si="24"/>
        <v>0</v>
      </c>
      <c r="K38" s="3">
        <f t="shared" si="24"/>
        <v>0</v>
      </c>
      <c r="L38" s="3">
        <f t="shared" si="24"/>
        <v>0</v>
      </c>
      <c r="M38" s="3">
        <f t="shared" si="24"/>
        <v>0</v>
      </c>
      <c r="N38" s="3">
        <f t="shared" si="24"/>
        <v>0</v>
      </c>
      <c r="O38" s="3">
        <f t="shared" si="24"/>
        <v>0</v>
      </c>
    </row>
    <row r="39" spans="2:15">
      <c r="E39" t="s">
        <v>2717</v>
      </c>
      <c r="F39" s="8">
        <f t="shared" ref="F39:O39" si="25">SUM(F36:F38)</f>
        <v>30745225.029526912</v>
      </c>
      <c r="G39" s="8">
        <f t="shared" si="25"/>
        <v>30745225.029526912</v>
      </c>
      <c r="H39" s="8">
        <f t="shared" si="25"/>
        <v>30745225.029526912</v>
      </c>
      <c r="I39" s="8">
        <f t="shared" si="25"/>
        <v>30745225.029526912</v>
      </c>
      <c r="J39" s="8">
        <f t="shared" si="25"/>
        <v>30745225.029526912</v>
      </c>
      <c r="K39" s="8">
        <f t="shared" si="25"/>
        <v>30745225.029526912</v>
      </c>
      <c r="L39" s="8">
        <f t="shared" si="25"/>
        <v>30745225.029526912</v>
      </c>
      <c r="M39" s="8">
        <f t="shared" si="25"/>
        <v>30745225.029526912</v>
      </c>
      <c r="N39" s="8">
        <f t="shared" si="25"/>
        <v>30745225.029526912</v>
      </c>
      <c r="O39" s="8">
        <f t="shared" si="25"/>
        <v>30745225.029526912</v>
      </c>
    </row>
    <row r="40" spans="2:15">
      <c r="E40" s="7" t="s">
        <v>2709</v>
      </c>
      <c r="F40" s="7" t="s">
        <v>2265</v>
      </c>
      <c r="G40" s="7" t="s">
        <v>2266</v>
      </c>
      <c r="H40" s="7" t="s">
        <v>2267</v>
      </c>
      <c r="I40" s="7" t="s">
        <v>2268</v>
      </c>
      <c r="J40" s="7" t="s">
        <v>2269</v>
      </c>
      <c r="K40" s="7" t="s">
        <v>2270</v>
      </c>
      <c r="L40" s="7" t="s">
        <v>2271</v>
      </c>
      <c r="M40" s="7" t="s">
        <v>2272</v>
      </c>
      <c r="N40" s="7" t="s">
        <v>2273</v>
      </c>
      <c r="O40" s="7" t="s">
        <v>2274</v>
      </c>
    </row>
    <row r="41" spans="2:15">
      <c r="E41" t="s">
        <v>2718</v>
      </c>
      <c r="F41" s="3">
        <f t="shared" ref="F41:O41" si="26">IF(SUM(F13:O13)&lt;&gt;0,0,F9)</f>
        <v>0</v>
      </c>
      <c r="G41" s="3">
        <f t="shared" si="26"/>
        <v>0</v>
      </c>
      <c r="H41" s="3">
        <f t="shared" si="26"/>
        <v>0</v>
      </c>
      <c r="I41" s="3">
        <f t="shared" si="26"/>
        <v>0</v>
      </c>
      <c r="J41" s="3">
        <f t="shared" si="26"/>
        <v>0</v>
      </c>
      <c r="K41" s="3">
        <f t="shared" si="26"/>
        <v>0</v>
      </c>
      <c r="L41" s="3">
        <f t="shared" si="26"/>
        <v>0</v>
      </c>
      <c r="M41" s="3">
        <f t="shared" si="26"/>
        <v>0</v>
      </c>
      <c r="N41" s="3">
        <f t="shared" si="26"/>
        <v>0</v>
      </c>
      <c r="O41" s="3">
        <f t="shared" si="26"/>
        <v>0</v>
      </c>
    </row>
    <row r="42" spans="2:15">
      <c r="E42" t="s">
        <v>2719</v>
      </c>
      <c r="F42" s="3">
        <f t="shared" ref="F42:O42" si="27">IF(SUM(F23:O23)&lt;&gt;0,0,F19)</f>
        <v>0</v>
      </c>
      <c r="G42" s="3">
        <f t="shared" si="27"/>
        <v>0</v>
      </c>
      <c r="H42" s="3">
        <f t="shared" si="27"/>
        <v>0</v>
      </c>
      <c r="I42" s="3">
        <f t="shared" si="27"/>
        <v>0</v>
      </c>
      <c r="J42" s="3">
        <f t="shared" si="27"/>
        <v>0</v>
      </c>
      <c r="K42" s="3">
        <f t="shared" si="27"/>
        <v>0</v>
      </c>
      <c r="L42" s="3">
        <f t="shared" si="27"/>
        <v>0</v>
      </c>
      <c r="M42" s="3">
        <f t="shared" si="27"/>
        <v>0</v>
      </c>
      <c r="N42" s="3">
        <f t="shared" si="27"/>
        <v>0</v>
      </c>
      <c r="O42" s="3">
        <f t="shared" si="27"/>
        <v>0</v>
      </c>
    </row>
    <row r="43" spans="2:15">
      <c r="E43" t="s">
        <v>2720</v>
      </c>
      <c r="F43" s="3">
        <f t="shared" ref="F43:O43" si="28">IF(SUM(F33:O33)&lt;&gt;0,0,F29)</f>
        <v>0</v>
      </c>
      <c r="G43" s="3">
        <f t="shared" si="28"/>
        <v>0</v>
      </c>
      <c r="H43" s="3">
        <f t="shared" si="28"/>
        <v>0</v>
      </c>
      <c r="I43" s="3">
        <f t="shared" si="28"/>
        <v>0</v>
      </c>
      <c r="J43" s="3">
        <f t="shared" si="28"/>
        <v>0</v>
      </c>
      <c r="K43" s="3">
        <f t="shared" si="28"/>
        <v>0</v>
      </c>
      <c r="L43" s="3">
        <f t="shared" si="28"/>
        <v>0</v>
      </c>
      <c r="M43" s="3">
        <f t="shared" si="28"/>
        <v>0</v>
      </c>
      <c r="N43" s="3">
        <f t="shared" si="28"/>
        <v>0</v>
      </c>
      <c r="O43" s="3">
        <f t="shared" si="28"/>
        <v>0</v>
      </c>
    </row>
    <row r="44" spans="2:15">
      <c r="E44" t="s">
        <v>2721</v>
      </c>
      <c r="F44" s="8">
        <f t="shared" ref="F44:O44" si="29">SUM(F41:F43)</f>
        <v>0</v>
      </c>
      <c r="G44" s="8">
        <f t="shared" si="29"/>
        <v>0</v>
      </c>
      <c r="H44" s="8">
        <f t="shared" si="29"/>
        <v>0</v>
      </c>
      <c r="I44" s="8">
        <f t="shared" si="29"/>
        <v>0</v>
      </c>
      <c r="J44" s="8">
        <f t="shared" si="29"/>
        <v>0</v>
      </c>
      <c r="K44" s="8">
        <f t="shared" si="29"/>
        <v>0</v>
      </c>
      <c r="L44" s="8">
        <f t="shared" si="29"/>
        <v>0</v>
      </c>
      <c r="M44" s="8">
        <f t="shared" si="29"/>
        <v>0</v>
      </c>
      <c r="N44" s="8">
        <f t="shared" si="29"/>
        <v>0</v>
      </c>
      <c r="O44" s="8">
        <f t="shared" si="29"/>
        <v>0</v>
      </c>
    </row>
    <row r="45" spans="2:15">
      <c r="E45" s="7" t="s">
        <v>2709</v>
      </c>
      <c r="F45" s="7" t="s">
        <v>2265</v>
      </c>
      <c r="G45" s="7" t="s">
        <v>2266</v>
      </c>
      <c r="H45" s="7" t="s">
        <v>2267</v>
      </c>
      <c r="I45" s="7" t="s">
        <v>2268</v>
      </c>
      <c r="J45" s="7" t="s">
        <v>2269</v>
      </c>
      <c r="K45" s="7" t="s">
        <v>2270</v>
      </c>
      <c r="L45" s="7" t="s">
        <v>2271</v>
      </c>
      <c r="M45" s="7" t="s">
        <v>2272</v>
      </c>
      <c r="N45" s="7" t="s">
        <v>2273</v>
      </c>
      <c r="O45" s="7" t="s">
        <v>2274</v>
      </c>
    </row>
    <row r="46" spans="2:15">
      <c r="E46" t="s">
        <v>2722</v>
      </c>
      <c r="F46" s="3">
        <f>IF(SUM(F13:O13)&lt;&gt;0,0,F8)</f>
        <v>0</v>
      </c>
      <c r="G46" s="3">
        <f t="shared" ref="G46:O46" si="30">IF(SUM(G13:P13)&lt;&gt;0,0,G8)</f>
        <v>0</v>
      </c>
      <c r="H46" s="3">
        <f t="shared" si="30"/>
        <v>0</v>
      </c>
      <c r="I46" s="3">
        <f t="shared" si="30"/>
        <v>0</v>
      </c>
      <c r="J46" s="3">
        <f t="shared" si="30"/>
        <v>0</v>
      </c>
      <c r="K46" s="3">
        <f t="shared" si="30"/>
        <v>0</v>
      </c>
      <c r="L46" s="3">
        <f t="shared" si="30"/>
        <v>0</v>
      </c>
      <c r="M46" s="3">
        <f t="shared" si="30"/>
        <v>0</v>
      </c>
      <c r="N46" s="3">
        <f t="shared" si="30"/>
        <v>0</v>
      </c>
      <c r="O46" s="3">
        <f t="shared" si="30"/>
        <v>0</v>
      </c>
    </row>
    <row r="47" spans="2:15">
      <c r="E47" t="s">
        <v>2723</v>
      </c>
      <c r="F47" s="3">
        <f>IF(SUM(F13:O13)&lt;&gt;0,0,F10)</f>
        <v>0</v>
      </c>
      <c r="G47" s="3">
        <f t="shared" ref="G47:O47" si="31">IF(SUM(G13:P13)&lt;&gt;0,0,G10)</f>
        <v>0</v>
      </c>
      <c r="H47" s="3">
        <f t="shared" si="31"/>
        <v>0</v>
      </c>
      <c r="I47" s="3">
        <f t="shared" si="31"/>
        <v>0</v>
      </c>
      <c r="J47" s="3">
        <f t="shared" si="31"/>
        <v>0</v>
      </c>
      <c r="K47" s="3">
        <f t="shared" si="31"/>
        <v>0</v>
      </c>
      <c r="L47" s="3">
        <f t="shared" si="31"/>
        <v>0</v>
      </c>
      <c r="M47" s="3">
        <f t="shared" si="31"/>
        <v>0</v>
      </c>
      <c r="N47" s="3">
        <f t="shared" si="31"/>
        <v>0</v>
      </c>
      <c r="O47" s="3">
        <f t="shared" si="31"/>
        <v>0</v>
      </c>
    </row>
    <row r="48" spans="2:15">
      <c r="E48" t="s">
        <v>2724</v>
      </c>
      <c r="F48" s="8">
        <f>F46-F47</f>
        <v>0</v>
      </c>
      <c r="G48" s="8">
        <f>G46-G47</f>
        <v>0</v>
      </c>
      <c r="H48" s="8">
        <f t="shared" ref="H48:O48" si="32">H46-H47</f>
        <v>0</v>
      </c>
      <c r="I48" s="8">
        <f t="shared" si="32"/>
        <v>0</v>
      </c>
      <c r="J48" s="8">
        <f t="shared" si="32"/>
        <v>0</v>
      </c>
      <c r="K48" s="8">
        <f t="shared" si="32"/>
        <v>0</v>
      </c>
      <c r="L48" s="8">
        <f t="shared" si="32"/>
        <v>0</v>
      </c>
      <c r="M48" s="8">
        <f t="shared" si="32"/>
        <v>0</v>
      </c>
      <c r="N48" s="8">
        <f t="shared" si="32"/>
        <v>0</v>
      </c>
      <c r="O48" s="8">
        <f t="shared" si="32"/>
        <v>0</v>
      </c>
    </row>
    <row r="49" spans="5:15">
      <c r="E49" t="s">
        <v>2725</v>
      </c>
      <c r="F49" s="3">
        <f t="shared" ref="F49:O49" si="33">IF(SUM(F23:O23)&lt;&gt;0,0,F18)</f>
        <v>0</v>
      </c>
      <c r="G49" s="3">
        <f t="shared" si="33"/>
        <v>0</v>
      </c>
      <c r="H49" s="3">
        <f t="shared" si="33"/>
        <v>0</v>
      </c>
      <c r="I49" s="3">
        <f t="shared" si="33"/>
        <v>0</v>
      </c>
      <c r="J49" s="3">
        <f t="shared" si="33"/>
        <v>0</v>
      </c>
      <c r="K49" s="3">
        <f t="shared" si="33"/>
        <v>0</v>
      </c>
      <c r="L49" s="3">
        <f t="shared" si="33"/>
        <v>0</v>
      </c>
      <c r="M49" s="3">
        <f t="shared" si="33"/>
        <v>0</v>
      </c>
      <c r="N49" s="3">
        <f t="shared" si="33"/>
        <v>0</v>
      </c>
      <c r="O49" s="3">
        <f t="shared" si="33"/>
        <v>0</v>
      </c>
    </row>
    <row r="50" spans="5:15">
      <c r="E50" t="s">
        <v>2726</v>
      </c>
      <c r="F50" s="3">
        <f t="shared" ref="F50:O50" si="34">IF(SUM(F23:O23)&lt;&gt;0,0,F20)</f>
        <v>0</v>
      </c>
      <c r="G50" s="3">
        <f t="shared" si="34"/>
        <v>0</v>
      </c>
      <c r="H50" s="3">
        <f t="shared" si="34"/>
        <v>0</v>
      </c>
      <c r="I50" s="3">
        <f t="shared" si="34"/>
        <v>0</v>
      </c>
      <c r="J50" s="3">
        <f t="shared" si="34"/>
        <v>0</v>
      </c>
      <c r="K50" s="3">
        <f t="shared" si="34"/>
        <v>0</v>
      </c>
      <c r="L50" s="3">
        <f t="shared" si="34"/>
        <v>0</v>
      </c>
      <c r="M50" s="3">
        <f t="shared" si="34"/>
        <v>0</v>
      </c>
      <c r="N50" s="3">
        <f t="shared" si="34"/>
        <v>0</v>
      </c>
      <c r="O50" s="3">
        <f t="shared" si="34"/>
        <v>0</v>
      </c>
    </row>
    <row r="51" spans="5:15">
      <c r="E51" t="s">
        <v>2727</v>
      </c>
      <c r="F51" s="8">
        <f>F49-F50</f>
        <v>0</v>
      </c>
      <c r="G51" s="8">
        <f t="shared" ref="G51:O51" si="35">G49-G50</f>
        <v>0</v>
      </c>
      <c r="H51" s="8">
        <f t="shared" si="35"/>
        <v>0</v>
      </c>
      <c r="I51" s="8">
        <f t="shared" si="35"/>
        <v>0</v>
      </c>
      <c r="J51" s="8">
        <f t="shared" si="35"/>
        <v>0</v>
      </c>
      <c r="K51" s="8">
        <f t="shared" si="35"/>
        <v>0</v>
      </c>
      <c r="L51" s="8">
        <f t="shared" si="35"/>
        <v>0</v>
      </c>
      <c r="M51" s="8">
        <f t="shared" si="35"/>
        <v>0</v>
      </c>
      <c r="N51" s="8">
        <f t="shared" si="35"/>
        <v>0</v>
      </c>
      <c r="O51" s="8">
        <f t="shared" si="35"/>
        <v>0</v>
      </c>
    </row>
    <row r="52" spans="5:15">
      <c r="E52" t="s">
        <v>2728</v>
      </c>
      <c r="F52" s="3">
        <f t="shared" ref="F52:O52" si="36">IF(SUM(F33:O33)&lt;&gt;0,0,F28)</f>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row>
    <row r="53" spans="5:15">
      <c r="E53" t="s">
        <v>2729</v>
      </c>
      <c r="F53" s="3">
        <f t="shared" ref="F53:O53" si="37">IF(SUM(F33:O33)&lt;&gt;0,0,F30)</f>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row>
    <row r="54" spans="5:15">
      <c r="E54" t="s">
        <v>2730</v>
      </c>
      <c r="F54" s="8">
        <f>F52-F53</f>
        <v>0</v>
      </c>
      <c r="G54" s="8">
        <f t="shared" ref="G54:O54" si="38">G52-G53</f>
        <v>0</v>
      </c>
      <c r="H54" s="8">
        <f t="shared" si="38"/>
        <v>0</v>
      </c>
      <c r="I54" s="8">
        <f t="shared" si="38"/>
        <v>0</v>
      </c>
      <c r="J54" s="8">
        <f t="shared" si="38"/>
        <v>0</v>
      </c>
      <c r="K54" s="8">
        <f t="shared" si="38"/>
        <v>0</v>
      </c>
      <c r="L54" s="8">
        <f t="shared" si="38"/>
        <v>0</v>
      </c>
      <c r="M54" s="8">
        <f t="shared" si="38"/>
        <v>0</v>
      </c>
      <c r="N54" s="8">
        <f t="shared" si="38"/>
        <v>0</v>
      </c>
      <c r="O54" s="8">
        <f t="shared" si="38"/>
        <v>0</v>
      </c>
    </row>
    <row r="55" spans="5:15">
      <c r="E55" t="s">
        <v>2731</v>
      </c>
      <c r="F55" s="8">
        <f>F46+F49+F52</f>
        <v>0</v>
      </c>
      <c r="G55" s="8">
        <f>G46+G49+G52</f>
        <v>0</v>
      </c>
      <c r="H55" s="8">
        <f>H46+H49+H52</f>
        <v>0</v>
      </c>
      <c r="I55" s="8">
        <f t="shared" ref="I55:O55" si="39">I46+I49+I52</f>
        <v>0</v>
      </c>
      <c r="J55" s="8">
        <f t="shared" si="39"/>
        <v>0</v>
      </c>
      <c r="K55" s="8">
        <f t="shared" si="39"/>
        <v>0</v>
      </c>
      <c r="L55" s="8">
        <f t="shared" si="39"/>
        <v>0</v>
      </c>
      <c r="M55" s="8">
        <f t="shared" si="39"/>
        <v>0</v>
      </c>
      <c r="N55" s="8">
        <f t="shared" si="39"/>
        <v>0</v>
      </c>
      <c r="O55" s="8">
        <f t="shared" si="39"/>
        <v>0</v>
      </c>
    </row>
    <row r="56" spans="5:15">
      <c r="E56" t="s">
        <v>2732</v>
      </c>
      <c r="F56" s="8">
        <f>F47+F50+F53</f>
        <v>0</v>
      </c>
      <c r="G56" s="8">
        <f t="shared" ref="G56:O56" si="40">G47+G50+G53</f>
        <v>0</v>
      </c>
      <c r="H56" s="8">
        <f t="shared" si="40"/>
        <v>0</v>
      </c>
      <c r="I56" s="8">
        <f t="shared" si="40"/>
        <v>0</v>
      </c>
      <c r="J56" s="8">
        <f t="shared" si="40"/>
        <v>0</v>
      </c>
      <c r="K56" s="8">
        <f t="shared" si="40"/>
        <v>0</v>
      </c>
      <c r="L56" s="8">
        <f t="shared" si="40"/>
        <v>0</v>
      </c>
      <c r="M56" s="8">
        <f t="shared" si="40"/>
        <v>0</v>
      </c>
      <c r="N56" s="8">
        <f t="shared" si="40"/>
        <v>0</v>
      </c>
      <c r="O56" s="8">
        <f t="shared" si="40"/>
        <v>0</v>
      </c>
    </row>
    <row r="57" spans="5:15">
      <c r="E57" t="s">
        <v>2733</v>
      </c>
      <c r="F57" s="8">
        <f>F48+F51+F54</f>
        <v>0</v>
      </c>
      <c r="G57" s="8">
        <f t="shared" ref="G57:O57" si="41">G48+G51+G54</f>
        <v>0</v>
      </c>
      <c r="H57" s="8">
        <f t="shared" si="41"/>
        <v>0</v>
      </c>
      <c r="I57" s="8">
        <f t="shared" si="41"/>
        <v>0</v>
      </c>
      <c r="J57" s="8">
        <f t="shared" si="41"/>
        <v>0</v>
      </c>
      <c r="K57" s="8">
        <f t="shared" si="41"/>
        <v>0</v>
      </c>
      <c r="L57" s="8">
        <f t="shared" si="41"/>
        <v>0</v>
      </c>
      <c r="M57" s="8">
        <f t="shared" si="41"/>
        <v>0</v>
      </c>
      <c r="N57" s="8">
        <f t="shared" si="41"/>
        <v>0</v>
      </c>
      <c r="O57" s="8">
        <f t="shared" si="41"/>
        <v>0</v>
      </c>
    </row>
    <row r="58" spans="5:15">
      <c r="E58" s="7" t="s">
        <v>2709</v>
      </c>
      <c r="F58" s="7" t="s">
        <v>2265</v>
      </c>
      <c r="G58" s="7" t="s">
        <v>2266</v>
      </c>
      <c r="H58" s="7" t="s">
        <v>2267</v>
      </c>
      <c r="I58" s="7" t="s">
        <v>2268</v>
      </c>
      <c r="J58" s="7" t="s">
        <v>2269</v>
      </c>
      <c r="K58" s="7" t="s">
        <v>2270</v>
      </c>
      <c r="L58" s="7" t="s">
        <v>2271</v>
      </c>
      <c r="M58" s="7" t="s">
        <v>2272</v>
      </c>
      <c r="N58" s="7" t="s">
        <v>2273</v>
      </c>
      <c r="O58" s="7" t="s">
        <v>2274</v>
      </c>
    </row>
    <row r="59" spans="5:15">
      <c r="E59" t="s">
        <v>2734</v>
      </c>
      <c r="F59" s="8">
        <f>F12</f>
        <v>0</v>
      </c>
      <c r="G59" s="8">
        <f t="shared" ref="G59:O59" si="42">G12</f>
        <v>0</v>
      </c>
      <c r="H59" s="8">
        <f t="shared" si="42"/>
        <v>0</v>
      </c>
      <c r="I59" s="8">
        <f t="shared" si="42"/>
        <v>0</v>
      </c>
      <c r="J59" s="8">
        <f t="shared" si="42"/>
        <v>0</v>
      </c>
      <c r="K59" s="8">
        <f t="shared" si="42"/>
        <v>0</v>
      </c>
      <c r="L59" s="8">
        <f t="shared" si="42"/>
        <v>0</v>
      </c>
      <c r="M59" s="8">
        <f t="shared" si="42"/>
        <v>0</v>
      </c>
      <c r="N59" s="8">
        <f t="shared" si="42"/>
        <v>0</v>
      </c>
      <c r="O59" s="8">
        <f t="shared" si="42"/>
        <v>0</v>
      </c>
    </row>
    <row r="60" spans="5:15">
      <c r="E60" t="s">
        <v>2735</v>
      </c>
      <c r="F60" s="8">
        <f>F22</f>
        <v>0</v>
      </c>
      <c r="G60" s="8">
        <f t="shared" ref="G60:O60" si="43">G22</f>
        <v>0</v>
      </c>
      <c r="H60" s="8">
        <f t="shared" si="43"/>
        <v>0</v>
      </c>
      <c r="I60" s="8">
        <f t="shared" si="43"/>
        <v>0</v>
      </c>
      <c r="J60" s="8">
        <f t="shared" si="43"/>
        <v>0</v>
      </c>
      <c r="K60" s="8">
        <f t="shared" si="43"/>
        <v>0</v>
      </c>
      <c r="L60" s="8">
        <f t="shared" si="43"/>
        <v>0</v>
      </c>
      <c r="M60" s="8">
        <f t="shared" si="43"/>
        <v>0</v>
      </c>
      <c r="N60" s="8">
        <f t="shared" si="43"/>
        <v>0</v>
      </c>
      <c r="O60" s="8">
        <f t="shared" si="43"/>
        <v>0</v>
      </c>
    </row>
    <row r="61" spans="5:15">
      <c r="E61" t="s">
        <v>2736</v>
      </c>
      <c r="F61" s="8">
        <f>F32</f>
        <v>0</v>
      </c>
      <c r="G61" s="8">
        <f t="shared" ref="G61:O61" si="44">G32</f>
        <v>0</v>
      </c>
      <c r="H61" s="8">
        <f t="shared" si="44"/>
        <v>0</v>
      </c>
      <c r="I61" s="8">
        <f t="shared" si="44"/>
        <v>0</v>
      </c>
      <c r="J61" s="8">
        <f t="shared" si="44"/>
        <v>0</v>
      </c>
      <c r="K61" s="8">
        <f t="shared" si="44"/>
        <v>0</v>
      </c>
      <c r="L61" s="8">
        <f t="shared" si="44"/>
        <v>0</v>
      </c>
      <c r="M61" s="8">
        <f t="shared" si="44"/>
        <v>0</v>
      </c>
      <c r="N61" s="8">
        <f t="shared" si="44"/>
        <v>0</v>
      </c>
      <c r="O61" s="8">
        <f t="shared" si="44"/>
        <v>0</v>
      </c>
    </row>
    <row r="62" spans="5:15">
      <c r="E62" t="s">
        <v>2737</v>
      </c>
      <c r="F62" s="8">
        <f>SUM(F59:F61)</f>
        <v>0</v>
      </c>
      <c r="G62" s="8">
        <f t="shared" ref="G62:O62" si="45">SUM(G59:G61)</f>
        <v>0</v>
      </c>
      <c r="H62" s="8">
        <f t="shared" si="45"/>
        <v>0</v>
      </c>
      <c r="I62" s="8">
        <f t="shared" si="45"/>
        <v>0</v>
      </c>
      <c r="J62" s="8">
        <f t="shared" si="45"/>
        <v>0</v>
      </c>
      <c r="K62" s="8">
        <f t="shared" si="45"/>
        <v>0</v>
      </c>
      <c r="L62" s="8">
        <f t="shared" si="45"/>
        <v>0</v>
      </c>
      <c r="M62" s="8">
        <f t="shared" si="45"/>
        <v>0</v>
      </c>
      <c r="N62" s="8">
        <f t="shared" si="45"/>
        <v>0</v>
      </c>
      <c r="O62" s="8">
        <f t="shared" si="45"/>
        <v>0</v>
      </c>
    </row>
    <row r="64" spans="5:15">
      <c r="E64" t="s">
        <v>2713</v>
      </c>
      <c r="F64" s="8">
        <f>F13+F23+F33</f>
        <v>0</v>
      </c>
      <c r="G64" s="8">
        <f t="shared" ref="G64:O64" si="46">G13+G23+G33</f>
        <v>0</v>
      </c>
      <c r="H64" s="8">
        <f t="shared" si="46"/>
        <v>0</v>
      </c>
      <c r="I64" s="8">
        <f t="shared" si="46"/>
        <v>0</v>
      </c>
      <c r="J64" s="8">
        <f t="shared" si="46"/>
        <v>0</v>
      </c>
      <c r="K64" s="8">
        <f t="shared" si="46"/>
        <v>0</v>
      </c>
      <c r="L64" s="8">
        <f t="shared" si="46"/>
        <v>0</v>
      </c>
      <c r="M64" s="8">
        <f t="shared" si="46"/>
        <v>0</v>
      </c>
      <c r="N64" s="8">
        <f t="shared" si="46"/>
        <v>0</v>
      </c>
      <c r="O64" s="8">
        <f t="shared" si="46"/>
        <v>14219270.5029616</v>
      </c>
    </row>
    <row r="66" spans="5:16">
      <c r="E66" t="s">
        <v>2738</v>
      </c>
      <c r="F66" s="3">
        <f>IF(SUM(F13:O13)&lt;&gt;0,F10,0)</f>
        <v>5597438.0549897384</v>
      </c>
      <c r="G66" s="3">
        <f>IF(SUM(G13:P13)&lt;&gt;0,G10,0)</f>
        <v>6692398.652176044</v>
      </c>
      <c r="H66" s="3">
        <f>IF(SUM(H13:Q13)&lt;&gt;0,H10,0)</f>
        <v>8001553.4392063636</v>
      </c>
      <c r="I66" s="3">
        <f>IF(SUM(I13:R13)&lt;&gt;0,I10,0)</f>
        <v>9566802.6918356735</v>
      </c>
      <c r="J66" s="3">
        <f>IF(SUM(J13:S13)&lt;&gt;0,J10,0)</f>
        <v>11438243.141145861</v>
      </c>
      <c r="K66" s="3">
        <f t="shared" ref="K66:O66" si="47">IF(SUM(K13:T13)&lt;&gt;0,$F$8,0)</f>
        <v>142192705.029616</v>
      </c>
      <c r="L66" s="3">
        <f t="shared" si="47"/>
        <v>142192705.029616</v>
      </c>
      <c r="M66" s="3">
        <f t="shared" si="47"/>
        <v>142192705.029616</v>
      </c>
      <c r="N66" s="3">
        <f t="shared" si="47"/>
        <v>142192705.029616</v>
      </c>
      <c r="O66" s="3">
        <f t="shared" si="47"/>
        <v>142192705.029616</v>
      </c>
    </row>
    <row r="67" spans="5:16">
      <c r="E67" t="s">
        <v>2739</v>
      </c>
      <c r="F67" s="3">
        <f>IF(SUM(F23:O23)&lt;&gt;0,$F$18,0)</f>
        <v>0</v>
      </c>
      <c r="G67" s="3">
        <f t="shared" ref="G67:O67" si="48">IF(SUM(G23:P23)&lt;&gt;0,$F$18,0)</f>
        <v>0</v>
      </c>
      <c r="H67" s="3">
        <f t="shared" si="48"/>
        <v>0</v>
      </c>
      <c r="I67" s="3">
        <f t="shared" si="48"/>
        <v>0</v>
      </c>
      <c r="J67" s="3">
        <f t="shared" si="48"/>
        <v>0</v>
      </c>
      <c r="K67" s="3">
        <f t="shared" si="48"/>
        <v>0</v>
      </c>
      <c r="L67" s="3">
        <f t="shared" si="48"/>
        <v>0</v>
      </c>
      <c r="M67" s="3">
        <f t="shared" si="48"/>
        <v>0</v>
      </c>
      <c r="N67" s="3">
        <f t="shared" si="48"/>
        <v>0</v>
      </c>
      <c r="O67" s="3">
        <f t="shared" si="48"/>
        <v>0</v>
      </c>
    </row>
    <row r="68" spans="5:16">
      <c r="E68" t="s">
        <v>2740</v>
      </c>
      <c r="F68" s="3">
        <f>IF(SUM(F33:O33)&lt;&gt;0,$F$28,0)</f>
        <v>0</v>
      </c>
      <c r="G68" s="3">
        <f t="shared" ref="G68:O68" si="49">IF(SUM(G33:P33)&lt;&gt;0,$F$28,0)</f>
        <v>0</v>
      </c>
      <c r="H68" s="3">
        <f t="shared" si="49"/>
        <v>0</v>
      </c>
      <c r="I68" s="3">
        <f t="shared" si="49"/>
        <v>0</v>
      </c>
      <c r="J68" s="3">
        <f t="shared" si="49"/>
        <v>0</v>
      </c>
      <c r="K68" s="3">
        <f t="shared" si="49"/>
        <v>0</v>
      </c>
      <c r="L68" s="3">
        <f t="shared" si="49"/>
        <v>0</v>
      </c>
      <c r="M68" s="3">
        <f t="shared" si="49"/>
        <v>0</v>
      </c>
      <c r="N68" s="3">
        <f t="shared" si="49"/>
        <v>0</v>
      </c>
      <c r="O68" s="3">
        <f t="shared" si="49"/>
        <v>0</v>
      </c>
    </row>
    <row r="69" spans="5:16">
      <c r="E69" t="s">
        <v>2741</v>
      </c>
      <c r="F69" s="8">
        <f t="shared" ref="F69:O69" si="50">F66</f>
        <v>5597438.0549897384</v>
      </c>
      <c r="G69" s="8">
        <f t="shared" si="50"/>
        <v>6692398.652176044</v>
      </c>
      <c r="H69" s="8">
        <f t="shared" si="50"/>
        <v>8001553.4392063636</v>
      </c>
      <c r="I69" s="8">
        <f t="shared" si="50"/>
        <v>9566802.6918356735</v>
      </c>
      <c r="J69" s="8">
        <f t="shared" si="50"/>
        <v>11438243.141145861</v>
      </c>
      <c r="K69" s="8">
        <f t="shared" si="50"/>
        <v>142192705.029616</v>
      </c>
      <c r="L69" s="8">
        <f t="shared" si="50"/>
        <v>142192705.029616</v>
      </c>
      <c r="M69" s="8">
        <f t="shared" si="50"/>
        <v>142192705.029616</v>
      </c>
      <c r="N69" s="8">
        <f t="shared" si="50"/>
        <v>142192705.029616</v>
      </c>
      <c r="O69" s="8">
        <f t="shared" si="50"/>
        <v>142192705.029616</v>
      </c>
    </row>
    <row r="71" spans="5:16">
      <c r="E71" t="s">
        <v>2742</v>
      </c>
      <c r="F71" s="3">
        <f t="shared" ref="F71:O71" si="51">IF(SUM(F13:O13)&lt;&gt;0,$F$8,0)</f>
        <v>142192705.029616</v>
      </c>
      <c r="G71" s="3">
        <f t="shared" si="51"/>
        <v>142192705.029616</v>
      </c>
      <c r="H71" s="3">
        <f t="shared" si="51"/>
        <v>142192705.029616</v>
      </c>
      <c r="I71" s="3">
        <f t="shared" si="51"/>
        <v>142192705.029616</v>
      </c>
      <c r="J71" s="3">
        <f t="shared" si="51"/>
        <v>142192705.029616</v>
      </c>
      <c r="K71" s="3">
        <f t="shared" si="51"/>
        <v>142192705.029616</v>
      </c>
      <c r="L71" s="3">
        <f t="shared" si="51"/>
        <v>142192705.029616</v>
      </c>
      <c r="M71" s="3">
        <f t="shared" si="51"/>
        <v>142192705.029616</v>
      </c>
      <c r="N71" s="3">
        <f t="shared" si="51"/>
        <v>142192705.029616</v>
      </c>
      <c r="O71" s="3">
        <f t="shared" si="51"/>
        <v>142192705.029616</v>
      </c>
    </row>
    <row r="72" spans="5:16">
      <c r="E72" t="s">
        <v>2743</v>
      </c>
      <c r="F72" s="3">
        <f t="shared" ref="F72:O72" si="52">IF(SUM(F23:O23)&lt;&gt;0,$F$18,0)</f>
        <v>0</v>
      </c>
      <c r="G72" s="3">
        <f t="shared" si="52"/>
        <v>0</v>
      </c>
      <c r="H72" s="3">
        <f t="shared" si="52"/>
        <v>0</v>
      </c>
      <c r="I72" s="3">
        <f t="shared" si="52"/>
        <v>0</v>
      </c>
      <c r="J72" s="3">
        <f t="shared" si="52"/>
        <v>0</v>
      </c>
      <c r="K72" s="3">
        <f t="shared" si="52"/>
        <v>0</v>
      </c>
      <c r="L72" s="3">
        <f t="shared" si="52"/>
        <v>0</v>
      </c>
      <c r="M72" s="3">
        <f t="shared" si="52"/>
        <v>0</v>
      </c>
      <c r="N72" s="3">
        <f t="shared" si="52"/>
        <v>0</v>
      </c>
      <c r="O72" s="3">
        <f t="shared" si="52"/>
        <v>0</v>
      </c>
    </row>
    <row r="73" spans="5:16">
      <c r="E73" t="s">
        <v>2744</v>
      </c>
      <c r="F73" s="3">
        <f t="shared" ref="F73:O73" si="53">IF(SUM(F33:O33)&lt;&gt;0,$F$28,0)</f>
        <v>0</v>
      </c>
      <c r="G73" s="3">
        <f t="shared" si="53"/>
        <v>0</v>
      </c>
      <c r="H73" s="3">
        <f t="shared" si="53"/>
        <v>0</v>
      </c>
      <c r="I73" s="3">
        <f t="shared" si="53"/>
        <v>0</v>
      </c>
      <c r="J73" s="3">
        <f t="shared" si="53"/>
        <v>0</v>
      </c>
      <c r="K73" s="3">
        <f t="shared" si="53"/>
        <v>0</v>
      </c>
      <c r="L73" s="3">
        <f t="shared" si="53"/>
        <v>0</v>
      </c>
      <c r="M73" s="3">
        <f t="shared" si="53"/>
        <v>0</v>
      </c>
      <c r="N73" s="3">
        <f t="shared" si="53"/>
        <v>0</v>
      </c>
      <c r="O73" s="3">
        <f t="shared" si="53"/>
        <v>0</v>
      </c>
    </row>
    <row r="74" spans="5:16">
      <c r="E74" t="s">
        <v>2745</v>
      </c>
      <c r="F74" s="8">
        <f t="shared" ref="F74:O74" si="54">F71+F72+F73</f>
        <v>142192705.029616</v>
      </c>
      <c r="G74" s="8">
        <f t="shared" si="54"/>
        <v>142192705.029616</v>
      </c>
      <c r="H74" s="8">
        <f t="shared" si="54"/>
        <v>142192705.029616</v>
      </c>
      <c r="I74" s="8">
        <f t="shared" si="54"/>
        <v>142192705.029616</v>
      </c>
      <c r="J74" s="8">
        <f t="shared" si="54"/>
        <v>142192705.029616</v>
      </c>
      <c r="K74" s="8">
        <f t="shared" si="54"/>
        <v>142192705.029616</v>
      </c>
      <c r="L74" s="8">
        <f t="shared" si="54"/>
        <v>142192705.029616</v>
      </c>
      <c r="M74" s="8">
        <f t="shared" si="54"/>
        <v>142192705.029616</v>
      </c>
      <c r="N74" s="8">
        <f t="shared" si="54"/>
        <v>142192705.029616</v>
      </c>
      <c r="O74" s="8">
        <f t="shared" si="54"/>
        <v>142192705.029616</v>
      </c>
    </row>
    <row r="75" spans="5:16">
      <c r="E75" t="s">
        <v>2695</v>
      </c>
      <c r="F75" s="3">
        <f t="shared" ref="F75:P75" si="55">IF(F74&lt;&gt;0,0,$F$74)</f>
        <v>0</v>
      </c>
      <c r="G75" s="3">
        <f t="shared" si="55"/>
        <v>0</v>
      </c>
      <c r="H75" s="3">
        <f t="shared" si="55"/>
        <v>0</v>
      </c>
      <c r="I75" s="3">
        <f t="shared" si="55"/>
        <v>0</v>
      </c>
      <c r="J75" s="3">
        <f t="shared" si="55"/>
        <v>0</v>
      </c>
      <c r="K75" s="3">
        <f t="shared" si="55"/>
        <v>0</v>
      </c>
      <c r="L75" s="3">
        <f t="shared" si="55"/>
        <v>0</v>
      </c>
      <c r="M75" s="3">
        <f t="shared" si="55"/>
        <v>0</v>
      </c>
      <c r="N75" s="3">
        <f t="shared" si="55"/>
        <v>0</v>
      </c>
      <c r="O75" s="3">
        <f t="shared" si="55"/>
        <v>0</v>
      </c>
      <c r="P75" s="3">
        <f t="shared" si="55"/>
        <v>142192705.029616</v>
      </c>
    </row>
  </sheetData>
  <phoneticPr fontId="1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09B23-42AD-4360-BDE1-656BB91F9CC9}">
  <dimension ref="A1:O48"/>
  <sheetViews>
    <sheetView showGridLines="0" showRowColHeaders="0" topLeftCell="A16" zoomScaleNormal="100" workbookViewId="0"/>
  </sheetViews>
  <sheetFormatPr baseColWidth="10" defaultColWidth="11.453125" defaultRowHeight="14.5"/>
  <cols>
    <col min="1" max="1" width="48.453125" bestFit="1" customWidth="1"/>
    <col min="2" max="12" width="14" customWidth="1"/>
  </cols>
  <sheetData>
    <row r="1" spans="1:15" hidden="1">
      <c r="A1" t="s">
        <v>2746</v>
      </c>
      <c r="B1" s="2">
        <f>DATOS!B39</f>
        <v>300</v>
      </c>
      <c r="F1" s="352"/>
      <c r="H1" s="8"/>
      <c r="I1" s="8"/>
    </row>
    <row r="2" spans="1:15" hidden="1">
      <c r="A2" t="s">
        <v>2211</v>
      </c>
      <c r="B2" s="2" t="str">
        <f>DATOS!B23</f>
        <v>ESTRATO 4</v>
      </c>
      <c r="G2" s="17"/>
      <c r="H2" s="17"/>
    </row>
    <row r="3" spans="1:15" hidden="1">
      <c r="A3" t="s">
        <v>2747</v>
      </c>
      <c r="B3" s="41">
        <f>IF(B2=0," ",IF(B2="ESTRATO 1",0.6,IF(B2="ESTRATO 2",0.5,IF(B2="ESTRATO 3",0.15,IF(B2="ESTRATO 4",1,1.2)))))</f>
        <v>1</v>
      </c>
      <c r="C3" s="17"/>
      <c r="D3" s="17"/>
      <c r="F3" s="352"/>
      <c r="I3" s="8"/>
    </row>
    <row r="4" spans="1:15" hidden="1">
      <c r="A4" t="s">
        <v>2210</v>
      </c>
      <c r="B4" s="2">
        <f>DATOS!B21</f>
        <v>1310</v>
      </c>
      <c r="D4" s="3"/>
      <c r="E4" s="8"/>
    </row>
    <row r="5" spans="1:15" hidden="1">
      <c r="A5" t="s">
        <v>2748</v>
      </c>
      <c r="B5" s="9">
        <f>DATOS!B82</f>
        <v>42000</v>
      </c>
      <c r="D5" s="17"/>
    </row>
    <row r="6" spans="1:15" hidden="1">
      <c r="A6" t="s">
        <v>2749</v>
      </c>
      <c r="B6" s="9">
        <f>DATOS!B76</f>
        <v>135</v>
      </c>
      <c r="C6" s="17"/>
    </row>
    <row r="7" spans="1:15" hidden="1">
      <c r="A7" t="s">
        <v>2750</v>
      </c>
      <c r="B7" s="9">
        <f>B6*B1</f>
        <v>40500</v>
      </c>
      <c r="C7" s="17"/>
    </row>
    <row r="8" spans="1:15" hidden="1">
      <c r="A8" t="s">
        <v>2751</v>
      </c>
      <c r="C8" s="9">
        <f>DATOS!B78</f>
        <v>890.43</v>
      </c>
      <c r="D8" s="17">
        <f>C8*(1+'PROYECCIONES MACROECONÓMICAS'!$B$7)</f>
        <v>942.96536999999989</v>
      </c>
      <c r="E8" s="17">
        <f>D8*(1+'PROYECCIONES MACROECONÓMICAS'!$B$7)</f>
        <v>998.60032682999986</v>
      </c>
      <c r="F8" s="17">
        <f>E8*(1+'PROYECCIONES MACROECONÓMICAS'!$B$7)</f>
        <v>1057.5177461129697</v>
      </c>
      <c r="G8" s="17">
        <f>F8*(1+'PROYECCIONES MACROECONÓMICAS'!$B$7)</f>
        <v>1119.9112931336349</v>
      </c>
      <c r="H8" s="17">
        <f>G8*(1+'PROYECCIONES MACROECONÓMICAS'!$B$7)</f>
        <v>1185.9860594285192</v>
      </c>
      <c r="I8" s="17">
        <f>H8*(1+'PROYECCIONES MACROECONÓMICAS'!$B$7)</f>
        <v>1255.9592369348018</v>
      </c>
      <c r="J8" s="17">
        <f>I8*(1+'PROYECCIONES MACROECONÓMICAS'!$B$7)</f>
        <v>1330.0608319139551</v>
      </c>
      <c r="K8" s="17">
        <f>J8*(1+'PROYECCIONES MACROECONÓMICAS'!$B$7)</f>
        <v>1408.5344209968785</v>
      </c>
      <c r="L8" s="17">
        <f>K8*(1+'PROYECCIONES MACROECONÓMICAS'!$B$7)</f>
        <v>1491.6379518356941</v>
      </c>
    </row>
    <row r="9" spans="1:15" hidden="1">
      <c r="A9" t="s">
        <v>2752</v>
      </c>
      <c r="B9" s="3">
        <f>IF(B4&lt;1000,DATOS!B76-173,DATOS!B76-130)</f>
        <v>5</v>
      </c>
    </row>
    <row r="10" spans="1:15" hidden="1">
      <c r="A10" t="s">
        <v>2753</v>
      </c>
      <c r="C10" s="3">
        <f>IF($B$3&gt;0.6,$B$6*C8*$B$3,IF(DATOS!$B$384=100%,$B$6*C8,IF($B$9&gt;0,($B$6-$B$9)*(C8-C8*$B$3)+$B$9*C8,$B$6*(C8-C8*$B$3))))</f>
        <v>120208.04999999999</v>
      </c>
      <c r="D10" s="3">
        <f>IF($B$3&gt;0.6,$B$6*D8*$B$3,IF(DATOS!$B$384=100%,$B$6*D8,IF($B$9&gt;0,($B$6-$B$9)*(D8-D8*$B$3)+$B$9*D8,$B$6*(D8-D8*$B$3))))</f>
        <v>127300.32494999998</v>
      </c>
      <c r="E10" s="3">
        <f>IF($B$3&gt;0.6,$B$6*E8*$B$3,IF(DATOS!$B$384=100%,$B$6*E8,IF($B$9&gt;0,($B$6-$B$9)*(E8-E8*$B$3)+$B$9*E8,$B$6*(E8-E8*$B$3))))</f>
        <v>134811.04412204999</v>
      </c>
      <c r="F10" s="3">
        <f>IF($B$3&gt;0.6,$B$6*F8*$B$3,IF(DATOS!$B$384=100%,$B$6*F8,IF($B$9&gt;0,($B$6-$B$9)*(F8-F8*$B$3)+$B$9*F8,$B$6*(F8-F8*$B$3))))</f>
        <v>142764.89572525091</v>
      </c>
      <c r="G10" s="3">
        <f>IF($B$3&gt;0.6,$B$6*G8*$B$3,IF(DATOS!$B$384=100%,$B$6*G8,IF($B$9&gt;0,($B$6-$B$9)*(G8-G8*$B$3)+$B$9*G8,$B$6*(G8-G8*$B$3))))</f>
        <v>151188.02457304072</v>
      </c>
      <c r="H10" s="3">
        <f>IF($B$3&gt;0.6,$B$6*H8*$B$3,IF(DATOS!$B$384=100%,$B$6*H8,IF($B$9&gt;0,($B$6-$B$9)*(H8-H8*$B$3)+$B$9*H8,$B$6*(H8-H8*$B$3))))</f>
        <v>160108.1180228501</v>
      </c>
      <c r="I10" s="3">
        <f>IF($B$3&gt;0.6,$B$6*I8*$B$3,IF(DATOS!$B$384=100%,$B$6*I8,IF($B$9&gt;0,($B$6-$B$9)*(I8-I8*$B$3)+$B$9*I8,$B$6*(I8-I8*$B$3))))</f>
        <v>169554.49698619824</v>
      </c>
      <c r="J10" s="3">
        <f>IF($B$3&gt;0.6,$B$6*J8*$B$3,IF(DATOS!$B$384=100%,$B$6*J8,IF($B$9&gt;0,($B$6-$B$9)*(J8-J8*$B$3)+$B$9*J8,$B$6*(J8-J8*$B$3))))</f>
        <v>179558.21230838393</v>
      </c>
      <c r="K10" s="3">
        <f>IF($B$3&gt;0.6,$B$6*K8*$B$3,IF(DATOS!$B$384=100%,$B$6*K8,IF($B$9&gt;0,($B$6-$B$9)*(K8-K8*$B$3)+$B$9*K8,$B$6*(K8-K8*$B$3))))</f>
        <v>190152.1468345786</v>
      </c>
      <c r="L10" s="3">
        <f>IF($B$3&gt;0.6,$B$6*L8*$B$3,IF(DATOS!$B$384=100%,$B$6*L8,IF($B$9&gt;0,($B$6-$B$9)*(L8-L8*$B$3)+$B$9*L8,$B$6*(L8-L8*$B$3))))</f>
        <v>201371.12349781871</v>
      </c>
    </row>
    <row r="11" spans="1:15" hidden="1">
      <c r="A11" t="s">
        <v>2754</v>
      </c>
      <c r="C11" s="8">
        <f t="shared" ref="C11:L11" si="0">C10*$B$1*12</f>
        <v>432748980</v>
      </c>
      <c r="D11" s="8">
        <f t="shared" si="0"/>
        <v>458281169.81999993</v>
      </c>
      <c r="E11" s="8">
        <f t="shared" si="0"/>
        <v>485319758.83937991</v>
      </c>
      <c r="F11" s="8">
        <f t="shared" si="0"/>
        <v>513953624.61090326</v>
      </c>
      <c r="G11" s="8">
        <f t="shared" si="0"/>
        <v>544276888.46294665</v>
      </c>
      <c r="H11" s="8">
        <f t="shared" si="0"/>
        <v>576389224.88226032</v>
      </c>
      <c r="I11" s="8">
        <f t="shared" si="0"/>
        <v>610396189.15031362</v>
      </c>
      <c r="J11" s="8">
        <f t="shared" si="0"/>
        <v>646409564.31018209</v>
      </c>
      <c r="K11" s="8">
        <f t="shared" si="0"/>
        <v>684547728.60448289</v>
      </c>
      <c r="L11" s="8">
        <f t="shared" si="0"/>
        <v>724936044.59214735</v>
      </c>
    </row>
    <row r="12" spans="1:15" hidden="1">
      <c r="A12" t="s">
        <v>2260</v>
      </c>
      <c r="B12" s="18">
        <f>DATOS!B92</f>
        <v>0</v>
      </c>
    </row>
    <row r="13" spans="1:15" hidden="1">
      <c r="A13" t="s">
        <v>2263</v>
      </c>
      <c r="C13" s="19">
        <f>DATOS!B99</f>
        <v>699.25018283289216</v>
      </c>
      <c r="D13" s="17">
        <f>DATOS!B100</f>
        <v>740.50594362003278</v>
      </c>
      <c r="E13" s="17">
        <f>DATOS!B101</f>
        <v>784.19579429361465</v>
      </c>
      <c r="F13" s="17">
        <f>DATOS!B102</f>
        <v>830.46334615693786</v>
      </c>
      <c r="G13" s="17">
        <f>DATOS!B103</f>
        <v>879.46068358019716</v>
      </c>
      <c r="H13" s="17">
        <f>DATOS!B104</f>
        <v>931.34886391142868</v>
      </c>
      <c r="I13" s="17">
        <f>DATOS!B105</f>
        <v>986.29844688220294</v>
      </c>
      <c r="J13" s="17">
        <f>DATOS!B106</f>
        <v>1044.4900552482529</v>
      </c>
      <c r="K13" s="17">
        <f>DATOS!B107</f>
        <v>1106.1149685078999</v>
      </c>
      <c r="L13" s="17">
        <f>DATOS!B108</f>
        <v>1171.3757516498658</v>
      </c>
    </row>
    <row r="14" spans="1:15" hidden="1">
      <c r="A14" t="s">
        <v>2258</v>
      </c>
      <c r="B14" s="8" t="str">
        <f>DATOS!B90</f>
        <v>Generador Distribuido Colectivo (sólo le interesa vender energía) - GDC</v>
      </c>
    </row>
    <row r="15" spans="1:15" ht="15" hidden="1" thickBot="1"/>
    <row r="16" spans="1:15">
      <c r="A16" s="401" t="s">
        <v>2755</v>
      </c>
      <c r="B16" s="402"/>
      <c r="C16" s="402"/>
      <c r="D16" s="402"/>
      <c r="E16" s="402"/>
      <c r="F16" s="402"/>
      <c r="G16" s="402"/>
      <c r="H16" s="402"/>
      <c r="I16" s="402"/>
      <c r="J16" s="402"/>
      <c r="K16" s="402"/>
      <c r="L16" s="402"/>
      <c r="M16" s="403"/>
      <c r="N16" s="79"/>
      <c r="O16" s="79"/>
    </row>
    <row r="17" spans="1:15" ht="15" thickBot="1">
      <c r="A17" s="404"/>
      <c r="B17" s="405"/>
      <c r="C17" s="405"/>
      <c r="D17" s="405"/>
      <c r="E17" s="405"/>
      <c r="F17" s="405"/>
      <c r="G17" s="405"/>
      <c r="H17" s="405"/>
      <c r="I17" s="405"/>
      <c r="J17" s="405"/>
      <c r="K17" s="405"/>
      <c r="L17" s="405"/>
      <c r="M17" s="406"/>
      <c r="N17" s="79"/>
      <c r="O17" s="79"/>
    </row>
    <row r="18" spans="1:15" ht="15" thickBot="1">
      <c r="A18" s="79"/>
      <c r="B18" s="79"/>
      <c r="C18" s="79"/>
      <c r="D18" s="79"/>
      <c r="E18" s="79"/>
      <c r="F18" s="79"/>
      <c r="G18" s="79"/>
      <c r="H18" s="79"/>
      <c r="I18" s="79"/>
      <c r="J18" s="79"/>
      <c r="K18" s="79"/>
      <c r="L18" s="79"/>
      <c r="M18" s="79"/>
      <c r="N18" s="79"/>
      <c r="O18" s="79"/>
    </row>
    <row r="19" spans="1:15">
      <c r="A19" s="245" t="s">
        <v>2589</v>
      </c>
      <c r="B19" s="246" t="s">
        <v>2590</v>
      </c>
      <c r="C19" s="246" t="s">
        <v>2265</v>
      </c>
      <c r="D19" s="246" t="s">
        <v>2266</v>
      </c>
      <c r="E19" s="246" t="s">
        <v>2267</v>
      </c>
      <c r="F19" s="246" t="s">
        <v>2268</v>
      </c>
      <c r="G19" s="246" t="s">
        <v>2269</v>
      </c>
      <c r="H19" s="246" t="s">
        <v>2270</v>
      </c>
      <c r="I19" s="246" t="s">
        <v>2271</v>
      </c>
      <c r="J19" s="246" t="s">
        <v>2272</v>
      </c>
      <c r="K19" s="246" t="s">
        <v>2273</v>
      </c>
      <c r="L19" s="247" t="s">
        <v>2274</v>
      </c>
      <c r="M19" s="79"/>
      <c r="N19" s="79"/>
      <c r="O19" s="79"/>
    </row>
    <row r="20" spans="1:15">
      <c r="A20" s="83" t="s">
        <v>2756</v>
      </c>
      <c r="B20" s="263">
        <v>0</v>
      </c>
      <c r="C20" s="263">
        <f t="shared" ref="C20:L20" si="1">IF($B$14="Autogenerador Colectivo ( no le interesa vender energia) - AGRC",$B$12*C11,0)</f>
        <v>0</v>
      </c>
      <c r="D20" s="263">
        <f t="shared" si="1"/>
        <v>0</v>
      </c>
      <c r="E20" s="263">
        <f t="shared" si="1"/>
        <v>0</v>
      </c>
      <c r="F20" s="263">
        <f t="shared" si="1"/>
        <v>0</v>
      </c>
      <c r="G20" s="263">
        <f t="shared" si="1"/>
        <v>0</v>
      </c>
      <c r="H20" s="263">
        <f t="shared" si="1"/>
        <v>0</v>
      </c>
      <c r="I20" s="263">
        <f t="shared" si="1"/>
        <v>0</v>
      </c>
      <c r="J20" s="263">
        <f t="shared" si="1"/>
        <v>0</v>
      </c>
      <c r="K20" s="263">
        <f t="shared" si="1"/>
        <v>0</v>
      </c>
      <c r="L20" s="84">
        <f t="shared" si="1"/>
        <v>0</v>
      </c>
      <c r="M20" s="79"/>
      <c r="N20" s="79"/>
      <c r="O20" s="79"/>
    </row>
    <row r="21" spans="1:15">
      <c r="A21" s="83" t="s">
        <v>2757</v>
      </c>
      <c r="B21" s="194"/>
      <c r="C21" s="263">
        <f t="shared" ref="C21:L21" si="2">IF($B$14="Autogenerador Colectivo (le interesa solo vender energíá sobrante) - AGRC",(($B$5-$B$7)*12*C13)+(C11*$B$12),0)</f>
        <v>0</v>
      </c>
      <c r="D21" s="263">
        <f t="shared" si="2"/>
        <v>0</v>
      </c>
      <c r="E21" s="263">
        <f t="shared" si="2"/>
        <v>0</v>
      </c>
      <c r="F21" s="263">
        <f t="shared" si="2"/>
        <v>0</v>
      </c>
      <c r="G21" s="263">
        <f t="shared" si="2"/>
        <v>0</v>
      </c>
      <c r="H21" s="263">
        <f t="shared" si="2"/>
        <v>0</v>
      </c>
      <c r="I21" s="263">
        <f t="shared" si="2"/>
        <v>0</v>
      </c>
      <c r="J21" s="263">
        <f t="shared" si="2"/>
        <v>0</v>
      </c>
      <c r="K21" s="263">
        <f t="shared" si="2"/>
        <v>0</v>
      </c>
      <c r="L21" s="84">
        <f t="shared" si="2"/>
        <v>0</v>
      </c>
      <c r="M21" s="79"/>
      <c r="N21" s="79"/>
      <c r="O21" s="79"/>
    </row>
    <row r="22" spans="1:15">
      <c r="A22" s="83" t="s">
        <v>2758</v>
      </c>
      <c r="B22" s="194"/>
      <c r="C22" s="263">
        <f t="shared" ref="C22:L22" si="3">IF($B$14="Generador Distribuido Colectivo (sólo le interesa vender energía) - GDC",C13*$B$5*12,0)</f>
        <v>352422092.14777768</v>
      </c>
      <c r="D22" s="263">
        <f t="shared" si="3"/>
        <v>373214995.5844965</v>
      </c>
      <c r="E22" s="263">
        <f t="shared" si="3"/>
        <v>395234680.32398176</v>
      </c>
      <c r="F22" s="263">
        <f t="shared" si="3"/>
        <v>418553526.46309674</v>
      </c>
      <c r="G22" s="263">
        <f t="shared" si="3"/>
        <v>443248184.52441943</v>
      </c>
      <c r="H22" s="263">
        <f t="shared" si="3"/>
        <v>469399827.41136003</v>
      </c>
      <c r="I22" s="263">
        <f t="shared" si="3"/>
        <v>497094417.22863024</v>
      </c>
      <c r="J22" s="263">
        <f t="shared" si="3"/>
        <v>526422987.84511948</v>
      </c>
      <c r="K22" s="263">
        <f t="shared" si="3"/>
        <v>557481944.12798154</v>
      </c>
      <c r="L22" s="84">
        <f t="shared" si="3"/>
        <v>590373378.83153236</v>
      </c>
      <c r="M22" s="79"/>
      <c r="N22" s="79"/>
      <c r="O22" s="79"/>
    </row>
    <row r="23" spans="1:15">
      <c r="A23" s="83" t="s">
        <v>2759</v>
      </c>
      <c r="B23" s="194"/>
      <c r="C23" s="259">
        <f>IF(AND(DATOS!$B$19="ÁREAS ESPECIALES",B9&lt;=0),$B$7*46*12,0)</f>
        <v>0</v>
      </c>
      <c r="D23" s="259">
        <f>IF(AND(DATOS!$B$19="ÁREAS ESPECIALES",C9&lt;=0),$B$7*46*12,0)</f>
        <v>0</v>
      </c>
      <c r="E23" s="259">
        <f>IF(AND(DATOS!$B$19="ÁREAS ESPECIALES",D9&lt;=0),$B$7*46*12,0)</f>
        <v>0</v>
      </c>
      <c r="F23" s="259">
        <f>IF(AND(DATOS!$B$19="ÁREAS ESPECIALES",E9&lt;=0),$B$7*46*12,0)</f>
        <v>0</v>
      </c>
      <c r="G23" s="259">
        <f>IF(AND(DATOS!$B$19="ÁREAS ESPECIALES",F9&lt;=0),$B$7*46*12,0)</f>
        <v>0</v>
      </c>
      <c r="H23" s="259">
        <f>IF(AND(DATOS!$B$19="ÁREAS ESPECIALES",G9&lt;=0),$B$7*46*12,0)</f>
        <v>0</v>
      </c>
      <c r="I23" s="259">
        <f>IF(AND(DATOS!$B$19="ÁREAS ESPECIALES",H9&lt;=0),$B$7*46*12,0)</f>
        <v>0</v>
      </c>
      <c r="J23" s="259">
        <f>IF(AND(DATOS!$B$19="ÁREAS ESPECIALES",I9&lt;=0),$B$7*46*12,0)</f>
        <v>0</v>
      </c>
      <c r="K23" s="259">
        <f>IF(AND(DATOS!$B$19="ÁREAS ESPECIALES",J9&lt;=0),$B$7*46*12,0)</f>
        <v>0</v>
      </c>
      <c r="L23" s="100">
        <f>IF(AND(DATOS!$B$19="ÁREAS ESPECIALES",K9&lt;=0),$B$7*46*12,0)</f>
        <v>0</v>
      </c>
      <c r="M23" s="79"/>
      <c r="N23" s="79"/>
      <c r="O23" s="79"/>
    </row>
    <row r="24" spans="1:15">
      <c r="A24" s="83" t="s">
        <v>2760</v>
      </c>
      <c r="B24" s="263">
        <v>0</v>
      </c>
      <c r="C24" s="263">
        <f>DATOS!B193*12</f>
        <v>0</v>
      </c>
      <c r="D24" s="259">
        <f>C24*(1+'PROYECCIONES MACROECONÓMICAS'!$B$7)</f>
        <v>0</v>
      </c>
      <c r="E24" s="259">
        <f>D24*(1+'PROYECCIONES MACROECONÓMICAS'!$B$7)</f>
        <v>0</v>
      </c>
      <c r="F24" s="259">
        <f>E24*(1+'PROYECCIONES MACROECONÓMICAS'!$B$7)</f>
        <v>0</v>
      </c>
      <c r="G24" s="259">
        <f>F24*(1+'PROYECCIONES MACROECONÓMICAS'!$B$7)</f>
        <v>0</v>
      </c>
      <c r="H24" s="259">
        <f>G24*(1+'PROYECCIONES MACROECONÓMICAS'!$B$7)</f>
        <v>0</v>
      </c>
      <c r="I24" s="259">
        <f>H24*(1+'PROYECCIONES MACROECONÓMICAS'!$B$7)</f>
        <v>0</v>
      </c>
      <c r="J24" s="259">
        <f>I24*(1+'PROYECCIONES MACROECONÓMICAS'!$B$7)</f>
        <v>0</v>
      </c>
      <c r="K24" s="259">
        <f>J24*(1+'PROYECCIONES MACROECONÓMICAS'!$B$7)</f>
        <v>0</v>
      </c>
      <c r="L24" s="100">
        <f>K24*(1+'PROYECCIONES MACROECONÓMICAS'!$B$7)</f>
        <v>0</v>
      </c>
      <c r="M24" s="79"/>
      <c r="N24" s="79"/>
      <c r="O24" s="79"/>
    </row>
    <row r="25" spans="1:15">
      <c r="A25" s="83" t="s">
        <v>2761</v>
      </c>
      <c r="B25" s="259">
        <f t="shared" ref="B25:L25" si="4">SUM(B20:B24)</f>
        <v>0</v>
      </c>
      <c r="C25" s="259">
        <f t="shared" si="4"/>
        <v>352422092.14777768</v>
      </c>
      <c r="D25" s="259">
        <f t="shared" si="4"/>
        <v>373214995.5844965</v>
      </c>
      <c r="E25" s="259">
        <f t="shared" si="4"/>
        <v>395234680.32398176</v>
      </c>
      <c r="F25" s="259">
        <f t="shared" si="4"/>
        <v>418553526.46309674</v>
      </c>
      <c r="G25" s="259">
        <f t="shared" si="4"/>
        <v>443248184.52441943</v>
      </c>
      <c r="H25" s="259">
        <f t="shared" si="4"/>
        <v>469399827.41136003</v>
      </c>
      <c r="I25" s="259">
        <f t="shared" si="4"/>
        <v>497094417.22863024</v>
      </c>
      <c r="J25" s="259">
        <f t="shared" si="4"/>
        <v>526422987.84511948</v>
      </c>
      <c r="K25" s="259">
        <f t="shared" si="4"/>
        <v>557481944.12798154</v>
      </c>
      <c r="L25" s="100">
        <f t="shared" si="4"/>
        <v>590373378.83153236</v>
      </c>
      <c r="M25" s="79"/>
      <c r="N25" s="79"/>
      <c r="O25" s="79"/>
    </row>
    <row r="26" spans="1:15">
      <c r="A26" s="83" t="s">
        <v>2762</v>
      </c>
      <c r="B26" s="263">
        <v>0</v>
      </c>
      <c r="C26" s="263">
        <f>DATOS!B140*12+DATOS!B165*12</f>
        <v>111435992</v>
      </c>
      <c r="D26" s="259">
        <f>C26*(1+'PROYECCIONES MACROECONÓMICAS'!$B$9)</f>
        <v>120350871.36000001</v>
      </c>
      <c r="E26" s="259">
        <f>D26*(1+'PROYECCIONES MACROECONÓMICAS'!$B$9)</f>
        <v>129978941.06880002</v>
      </c>
      <c r="F26" s="259">
        <f>E26*(1+'PROYECCIONES MACROECONÓMICAS'!$B$9)</f>
        <v>140377256.35430402</v>
      </c>
      <c r="G26" s="259">
        <f>F26*(1+'PROYECCIONES MACROECONÓMICAS'!$B$9)</f>
        <v>151607436.86264834</v>
      </c>
      <c r="H26" s="259">
        <f>G26*(1+'PROYECCIONES MACROECONÓMICAS'!$B$9)</f>
        <v>163736031.81166023</v>
      </c>
      <c r="I26" s="259">
        <f>H26*(1+'PROYECCIONES MACROECONÓMICAS'!$B$9)</f>
        <v>176834914.35659307</v>
      </c>
      <c r="J26" s="259">
        <f>I26*(1+'PROYECCIONES MACROECONÓMICAS'!$B$9)</f>
        <v>190981707.50512055</v>
      </c>
      <c r="K26" s="259">
        <f>J26*(1+'PROYECCIONES MACROECONÓMICAS'!$B$9)</f>
        <v>206260244.1055302</v>
      </c>
      <c r="L26" s="100">
        <f>K26*(1+'PROYECCIONES MACROECONÓMICAS'!$B$9)</f>
        <v>222761063.63397264</v>
      </c>
      <c r="M26" s="79"/>
      <c r="N26" s="79"/>
      <c r="O26" s="79"/>
    </row>
    <row r="27" spans="1:15">
      <c r="A27" s="83" t="s">
        <v>2763</v>
      </c>
      <c r="B27" s="263">
        <v>0</v>
      </c>
      <c r="C27" s="263">
        <f>DATOS!B189*12</f>
        <v>6240000</v>
      </c>
      <c r="D27" s="263">
        <f>C27*(1+'PROYECCIONES MACROECONÓMICAS'!$B$7)</f>
        <v>6608160</v>
      </c>
      <c r="E27" s="263">
        <f>D27*(1+'PROYECCIONES MACROECONÓMICAS'!$B$7)</f>
        <v>6998041.4399999995</v>
      </c>
      <c r="F27" s="263">
        <f>E27*(1+'PROYECCIONES MACROECONÓMICAS'!$B$7)</f>
        <v>7410925.8849599995</v>
      </c>
      <c r="G27" s="263">
        <f>F27*(1+'PROYECCIONES MACROECONÓMICAS'!$B$7)</f>
        <v>7848170.5121726394</v>
      </c>
      <c r="H27" s="263">
        <f>G27*(1+'PROYECCIONES MACROECONÓMICAS'!$B$7)</f>
        <v>8311212.5723908246</v>
      </c>
      <c r="I27" s="263">
        <f>H27*(1+'PROYECCIONES MACROECONÓMICAS'!$B$7)</f>
        <v>8801574.1141618825</v>
      </c>
      <c r="J27" s="263">
        <f>I27*(1+'PROYECCIONES MACROECONÓMICAS'!$B$7)</f>
        <v>9320866.9868974332</v>
      </c>
      <c r="K27" s="263">
        <f>J27*(1+'PROYECCIONES MACROECONÓMICAS'!$B$7)</f>
        <v>9870798.1391243804</v>
      </c>
      <c r="L27" s="84">
        <f>K27*(1+'PROYECCIONES MACROECONÓMICAS'!$B$7)</f>
        <v>10453175.229332719</v>
      </c>
      <c r="M27" s="79"/>
      <c r="N27" s="79"/>
      <c r="O27" s="79"/>
    </row>
    <row r="28" spans="1:15">
      <c r="A28" s="83" t="s">
        <v>2764</v>
      </c>
      <c r="B28" s="263"/>
      <c r="C28" s="263">
        <f>FINANCIACIÓN!F39</f>
        <v>30745225.029526912</v>
      </c>
      <c r="D28" s="263">
        <f>FINANCIACIÓN!G39</f>
        <v>30745225.029526912</v>
      </c>
      <c r="E28" s="263">
        <f>FINANCIACIÓN!H39</f>
        <v>30745225.029526912</v>
      </c>
      <c r="F28" s="263">
        <f>FINANCIACIÓN!I39</f>
        <v>30745225.029526912</v>
      </c>
      <c r="G28" s="263">
        <f>FINANCIACIÓN!J39</f>
        <v>30745225.029526912</v>
      </c>
      <c r="H28" s="263">
        <f>FINANCIACIÓN!K39</f>
        <v>30745225.029526912</v>
      </c>
      <c r="I28" s="263">
        <f>FINANCIACIÓN!L39</f>
        <v>30745225.029526912</v>
      </c>
      <c r="J28" s="263">
        <f>FINANCIACIÓN!M39</f>
        <v>30745225.029526912</v>
      </c>
      <c r="K28" s="263">
        <f>FINANCIACIÓN!N39</f>
        <v>30745225.029526912</v>
      </c>
      <c r="L28" s="84">
        <f>FINANCIACIÓN!O39</f>
        <v>30745225.029526912</v>
      </c>
      <c r="M28" s="79"/>
      <c r="N28" s="79"/>
      <c r="O28" s="79"/>
    </row>
    <row r="29" spans="1:15">
      <c r="A29" s="83" t="s">
        <v>2765</v>
      </c>
      <c r="B29" s="263">
        <v>0</v>
      </c>
      <c r="C29" s="263">
        <f>FINANCIACIÓN!F62</f>
        <v>0</v>
      </c>
      <c r="D29" s="263">
        <f>FINANCIACIÓN!G62</f>
        <v>0</v>
      </c>
      <c r="E29" s="263">
        <f>FINANCIACIÓN!H62</f>
        <v>0</v>
      </c>
      <c r="F29" s="263">
        <f>FINANCIACIÓN!I62</f>
        <v>0</v>
      </c>
      <c r="G29" s="263">
        <f>FINANCIACIÓN!J62</f>
        <v>0</v>
      </c>
      <c r="H29" s="263">
        <f>FINANCIACIÓN!K62</f>
        <v>0</v>
      </c>
      <c r="I29" s="263">
        <f>FINANCIACIÓN!L62</f>
        <v>0</v>
      </c>
      <c r="J29" s="263">
        <f>FINANCIACIÓN!M62</f>
        <v>0</v>
      </c>
      <c r="K29" s="263">
        <f>FINANCIACIÓN!N62</f>
        <v>0</v>
      </c>
      <c r="L29" s="84">
        <f>FINANCIACIÓN!O62</f>
        <v>0</v>
      </c>
      <c r="M29" s="79"/>
      <c r="N29" s="79"/>
      <c r="O29" s="79"/>
    </row>
    <row r="30" spans="1:15">
      <c r="A30" s="83" t="s">
        <v>2766</v>
      </c>
      <c r="B30" s="263"/>
      <c r="C30" s="263">
        <f>(DATOS!B195+DATOS!B197)*12</f>
        <v>0</v>
      </c>
      <c r="D30" s="263">
        <f>C30*(1+'PROYECCIONES MACROECONÓMICAS'!$B$7)</f>
        <v>0</v>
      </c>
      <c r="E30" s="263">
        <f>D30*(1+'PROYECCIONES MACROECONÓMICAS'!$B$7)</f>
        <v>0</v>
      </c>
      <c r="F30" s="263">
        <f>E30*(1+'PROYECCIONES MACROECONÓMICAS'!$B$7)</f>
        <v>0</v>
      </c>
      <c r="G30" s="263">
        <f>F30*(1+'PROYECCIONES MACROECONÓMICAS'!$B$7)</f>
        <v>0</v>
      </c>
      <c r="H30" s="263">
        <f>G30*(1+'PROYECCIONES MACROECONÓMICAS'!$B$7)</f>
        <v>0</v>
      </c>
      <c r="I30" s="263">
        <f>H30*(1+'PROYECCIONES MACROECONÓMICAS'!$B$7)</f>
        <v>0</v>
      </c>
      <c r="J30" s="263">
        <f>I30*(1+'PROYECCIONES MACROECONÓMICAS'!$B$7)</f>
        <v>0</v>
      </c>
      <c r="K30" s="263">
        <f>J30*(1+'PROYECCIONES MACROECONÓMICAS'!$B$7)</f>
        <v>0</v>
      </c>
      <c r="L30" s="84">
        <f>K30*(1+'PROYECCIONES MACROECONÓMICAS'!$B$7)</f>
        <v>0</v>
      </c>
      <c r="M30" s="79"/>
      <c r="N30" s="79"/>
      <c r="O30" s="79"/>
    </row>
    <row r="31" spans="1:15">
      <c r="A31" s="83" t="s">
        <v>2767</v>
      </c>
      <c r="B31" s="259">
        <f>SUM(B26:B27)</f>
        <v>0</v>
      </c>
      <c r="C31" s="259">
        <f t="shared" ref="C31:L31" si="5">SUM(C26:C30)</f>
        <v>148421217.02952692</v>
      </c>
      <c r="D31" s="259">
        <f t="shared" si="5"/>
        <v>157704256.38952693</v>
      </c>
      <c r="E31" s="259">
        <f t="shared" si="5"/>
        <v>167722207.53832695</v>
      </c>
      <c r="F31" s="259">
        <f t="shared" si="5"/>
        <v>178533407.26879093</v>
      </c>
      <c r="G31" s="259">
        <f t="shared" si="5"/>
        <v>190200832.4043479</v>
      </c>
      <c r="H31" s="259">
        <f t="shared" si="5"/>
        <v>202792469.41357797</v>
      </c>
      <c r="I31" s="259">
        <f t="shared" si="5"/>
        <v>216381713.50028187</v>
      </c>
      <c r="J31" s="259">
        <f t="shared" si="5"/>
        <v>231047799.5215449</v>
      </c>
      <c r="K31" s="259">
        <f t="shared" si="5"/>
        <v>246876267.27418151</v>
      </c>
      <c r="L31" s="100">
        <f t="shared" si="5"/>
        <v>263959463.89283228</v>
      </c>
      <c r="M31" s="79"/>
      <c r="N31" s="79"/>
      <c r="O31" s="79"/>
    </row>
    <row r="32" spans="1:15">
      <c r="A32" s="83" t="s">
        <v>2768</v>
      </c>
      <c r="B32" s="194"/>
      <c r="C32" s="259">
        <f t="shared" ref="C32:L32" si="6">C25-C31</f>
        <v>204000875.11825076</v>
      </c>
      <c r="D32" s="259">
        <f t="shared" si="6"/>
        <v>215510739.19496956</v>
      </c>
      <c r="E32" s="259">
        <f t="shared" si="6"/>
        <v>227512472.78565481</v>
      </c>
      <c r="F32" s="259">
        <f t="shared" si="6"/>
        <v>240020119.19430581</v>
      </c>
      <c r="G32" s="259">
        <f t="shared" si="6"/>
        <v>253047352.12007153</v>
      </c>
      <c r="H32" s="259">
        <f t="shared" si="6"/>
        <v>266607357.99778205</v>
      </c>
      <c r="I32" s="259">
        <f t="shared" si="6"/>
        <v>280712703.72834837</v>
      </c>
      <c r="J32" s="259">
        <f t="shared" si="6"/>
        <v>295375188.32357454</v>
      </c>
      <c r="K32" s="259">
        <f t="shared" si="6"/>
        <v>310605676.85380006</v>
      </c>
      <c r="L32" s="100">
        <f t="shared" si="6"/>
        <v>326413914.93870008</v>
      </c>
      <c r="M32" s="79"/>
      <c r="N32" s="79"/>
      <c r="O32" s="79"/>
    </row>
    <row r="33" spans="1:15">
      <c r="A33" s="83" t="s">
        <v>2769</v>
      </c>
      <c r="B33" s="194"/>
      <c r="C33" s="263">
        <f>'ACTIVOS FIJOS E INTANGIBLES'!C160</f>
        <v>35548176.257404</v>
      </c>
      <c r="D33" s="263">
        <f>'ACTIVOS FIJOS E INTANGIBLES'!D160</f>
        <v>35548176.257404</v>
      </c>
      <c r="E33" s="263">
        <f>'ACTIVOS FIJOS E INTANGIBLES'!E160</f>
        <v>35548176.257404</v>
      </c>
      <c r="F33" s="263">
        <f>'ACTIVOS FIJOS E INTANGIBLES'!F160</f>
        <v>35548176.257404</v>
      </c>
      <c r="G33" s="263">
        <f>'ACTIVOS FIJOS E INTANGIBLES'!G160</f>
        <v>35548176.257404</v>
      </c>
      <c r="H33" s="263">
        <f>'ACTIVOS FIJOS E INTANGIBLES'!H160</f>
        <v>35548176.257404</v>
      </c>
      <c r="I33" s="263">
        <f>'ACTIVOS FIJOS E INTANGIBLES'!I160</f>
        <v>35548176.257404</v>
      </c>
      <c r="J33" s="263">
        <f>'ACTIVOS FIJOS E INTANGIBLES'!J160</f>
        <v>35548176.257404</v>
      </c>
      <c r="K33" s="263">
        <f>'ACTIVOS FIJOS E INTANGIBLES'!K160</f>
        <v>35548176.257404</v>
      </c>
      <c r="L33" s="84">
        <f>'ACTIVOS FIJOS E INTANGIBLES'!L160</f>
        <v>35548176.257404</v>
      </c>
      <c r="M33" s="79"/>
      <c r="N33" s="79"/>
      <c r="O33" s="79"/>
    </row>
    <row r="34" spans="1:15">
      <c r="A34" s="83" t="s">
        <v>2770</v>
      </c>
      <c r="B34" s="194"/>
      <c r="C34" s="259">
        <f>C32-C33</f>
        <v>168452698.86084676</v>
      </c>
      <c r="D34" s="259">
        <f t="shared" ref="D34:L34" si="7">D32-D33</f>
        <v>179962562.93756557</v>
      </c>
      <c r="E34" s="259">
        <f t="shared" si="7"/>
        <v>191964296.52825081</v>
      </c>
      <c r="F34" s="259">
        <f t="shared" si="7"/>
        <v>204471942.93690181</v>
      </c>
      <c r="G34" s="259">
        <f t="shared" si="7"/>
        <v>217499175.86266753</v>
      </c>
      <c r="H34" s="259">
        <f t="shared" si="7"/>
        <v>231059181.74037805</v>
      </c>
      <c r="I34" s="259">
        <f t="shared" si="7"/>
        <v>245164527.47094437</v>
      </c>
      <c r="J34" s="259">
        <f t="shared" si="7"/>
        <v>259827012.06617054</v>
      </c>
      <c r="K34" s="259">
        <f t="shared" si="7"/>
        <v>275057500.59639609</v>
      </c>
      <c r="L34" s="100">
        <f t="shared" si="7"/>
        <v>290865738.68129611</v>
      </c>
      <c r="M34" s="79"/>
      <c r="N34" s="79"/>
      <c r="O34" s="79"/>
    </row>
    <row r="35" spans="1:15">
      <c r="A35" s="83" t="s">
        <v>2771</v>
      </c>
      <c r="B35" s="194"/>
      <c r="C35" s="263">
        <f>FINANCIACIÓN!F44</f>
        <v>0</v>
      </c>
      <c r="D35" s="263">
        <f>FINANCIACIÓN!G44</f>
        <v>0</v>
      </c>
      <c r="E35" s="263">
        <f>FINANCIACIÓN!H44</f>
        <v>0</v>
      </c>
      <c r="F35" s="263">
        <f>FINANCIACIÓN!I44</f>
        <v>0</v>
      </c>
      <c r="G35" s="263">
        <f>FINANCIACIÓN!J44</f>
        <v>0</v>
      </c>
      <c r="H35" s="263">
        <f>FINANCIACIÓN!K44</f>
        <v>0</v>
      </c>
      <c r="I35" s="263">
        <f>FINANCIACIÓN!L44</f>
        <v>0</v>
      </c>
      <c r="J35" s="263">
        <f>FINANCIACIÓN!M44</f>
        <v>0</v>
      </c>
      <c r="K35" s="263">
        <f>FINANCIACIÓN!N44</f>
        <v>0</v>
      </c>
      <c r="L35" s="84">
        <f>FINANCIACIÓN!O44</f>
        <v>0</v>
      </c>
      <c r="M35" s="79"/>
      <c r="N35" s="79"/>
      <c r="O35" s="79"/>
    </row>
    <row r="36" spans="1:15">
      <c r="A36" s="83" t="s">
        <v>2772</v>
      </c>
      <c r="B36" s="194"/>
      <c r="C36" s="259">
        <f t="shared" ref="C36:L36" si="8">C34-C35</f>
        <v>168452698.86084676</v>
      </c>
      <c r="D36" s="259">
        <f t="shared" si="8"/>
        <v>179962562.93756557</v>
      </c>
      <c r="E36" s="259">
        <f t="shared" si="8"/>
        <v>191964296.52825081</v>
      </c>
      <c r="F36" s="259">
        <f t="shared" si="8"/>
        <v>204471942.93690181</v>
      </c>
      <c r="G36" s="259">
        <f t="shared" si="8"/>
        <v>217499175.86266753</v>
      </c>
      <c r="H36" s="259">
        <f t="shared" si="8"/>
        <v>231059181.74037805</v>
      </c>
      <c r="I36" s="259">
        <f t="shared" si="8"/>
        <v>245164527.47094437</v>
      </c>
      <c r="J36" s="259">
        <f t="shared" si="8"/>
        <v>259827012.06617054</v>
      </c>
      <c r="K36" s="259">
        <f t="shared" si="8"/>
        <v>275057500.59639609</v>
      </c>
      <c r="L36" s="100">
        <f t="shared" si="8"/>
        <v>290865738.68129611</v>
      </c>
      <c r="M36" s="79"/>
      <c r="N36" s="79"/>
      <c r="O36" s="79"/>
    </row>
    <row r="37" spans="1:15">
      <c r="A37" s="83" t="s">
        <v>2656</v>
      </c>
      <c r="B37" s="194"/>
      <c r="C37" s="263">
        <f>IF(DATOS!$B$71="COMERCIAL",IF(C36&gt;0,C36*35%,0),0)</f>
        <v>0</v>
      </c>
      <c r="D37" s="263">
        <f>IF(DATOS!$B$71="COMERCIAL",IF(D36&gt;0,D36*35%,0),0)</f>
        <v>0</v>
      </c>
      <c r="E37" s="263">
        <f>IF(DATOS!$B$71="COMERCIAL",IF(E36&gt;0,E36*35%,0),0)</f>
        <v>0</v>
      </c>
      <c r="F37" s="263">
        <f>IF(DATOS!$B$71="COMERCIAL",IF(F36&gt;0,F36*35%,0),0)</f>
        <v>0</v>
      </c>
      <c r="G37" s="263">
        <f>IF(DATOS!$B$71="COMERCIAL",IF(G36&gt;0,G36*35%,0),0)</f>
        <v>0</v>
      </c>
      <c r="H37" s="263">
        <f>IF(DATOS!$B$71="COMERCIAL",IF(H36&gt;0,H36*35%,0),0)</f>
        <v>0</v>
      </c>
      <c r="I37" s="263">
        <f>IF(DATOS!$B$71="COMERCIAL",IF(I36&gt;0,I36*35%,0),0)</f>
        <v>0</v>
      </c>
      <c r="J37" s="263">
        <f>IF(DATOS!$B$71="COMERCIAL",IF(J36&gt;0,J36*35%,0),0)</f>
        <v>0</v>
      </c>
      <c r="K37" s="263">
        <f>IF(DATOS!$B$71="COMERCIAL",IF(K36&gt;0,K36*35%,0),0)</f>
        <v>0</v>
      </c>
      <c r="L37" s="84">
        <f>IF(DATOS!$B$71="COMERCIAL",IF(L36&gt;0,L36*35%,0),0)</f>
        <v>0</v>
      </c>
      <c r="M37" s="79"/>
      <c r="N37" s="79"/>
      <c r="O37" s="79"/>
    </row>
    <row r="38" spans="1:15" ht="15" thickBot="1">
      <c r="A38" s="103" t="s">
        <v>2773</v>
      </c>
      <c r="B38" s="282"/>
      <c r="C38" s="260">
        <f t="shared" ref="C38:L38" si="9">C36-C37</f>
        <v>168452698.86084676</v>
      </c>
      <c r="D38" s="260">
        <f t="shared" si="9"/>
        <v>179962562.93756557</v>
      </c>
      <c r="E38" s="260">
        <f t="shared" si="9"/>
        <v>191964296.52825081</v>
      </c>
      <c r="F38" s="260">
        <f t="shared" si="9"/>
        <v>204471942.93690181</v>
      </c>
      <c r="G38" s="260">
        <f t="shared" si="9"/>
        <v>217499175.86266753</v>
      </c>
      <c r="H38" s="260">
        <f t="shared" si="9"/>
        <v>231059181.74037805</v>
      </c>
      <c r="I38" s="260">
        <f t="shared" si="9"/>
        <v>245164527.47094437</v>
      </c>
      <c r="J38" s="260">
        <f t="shared" si="9"/>
        <v>259827012.06617054</v>
      </c>
      <c r="K38" s="260">
        <f t="shared" si="9"/>
        <v>275057500.59639609</v>
      </c>
      <c r="L38" s="261">
        <f t="shared" si="9"/>
        <v>290865738.68129611</v>
      </c>
      <c r="M38" s="79"/>
      <c r="N38" s="79"/>
      <c r="O38" s="79"/>
    </row>
    <row r="39" spans="1:15" ht="15" thickBot="1">
      <c r="A39" s="79"/>
      <c r="B39" s="79"/>
      <c r="C39" s="79"/>
      <c r="D39" s="79"/>
      <c r="E39" s="79"/>
      <c r="F39" s="79"/>
      <c r="G39" s="79"/>
      <c r="H39" s="79"/>
      <c r="I39" s="79"/>
      <c r="J39" s="79"/>
      <c r="K39" s="79"/>
      <c r="L39" s="79"/>
      <c r="M39" s="79"/>
      <c r="N39" s="79"/>
      <c r="O39" s="79"/>
    </row>
    <row r="40" spans="1:15" ht="14.5" customHeight="1">
      <c r="A40" s="831" t="s">
        <v>2774</v>
      </c>
      <c r="B40" s="833">
        <f>IF(C25=0,0,SUM(C20:C23)/C25)</f>
        <v>1</v>
      </c>
      <c r="C40" s="834"/>
      <c r="D40" s="79"/>
      <c r="E40" s="497" t="s">
        <v>2775</v>
      </c>
      <c r="F40" s="498"/>
      <c r="G40" s="606">
        <f>IF(C25=0,0,C32/C25)</f>
        <v>0.5788538223441142</v>
      </c>
      <c r="H40" s="837" t="s">
        <v>2776</v>
      </c>
      <c r="I40" s="838"/>
      <c r="J40" s="839"/>
      <c r="K40" s="79"/>
      <c r="L40" s="79"/>
      <c r="M40" s="79"/>
      <c r="N40" s="79"/>
      <c r="O40" s="79"/>
    </row>
    <row r="41" spans="1:15" ht="15" customHeight="1" thickBot="1">
      <c r="A41" s="832"/>
      <c r="B41" s="835"/>
      <c r="C41" s="836"/>
      <c r="D41" s="79"/>
      <c r="E41" s="499"/>
      <c r="F41" s="500"/>
      <c r="G41" s="607"/>
      <c r="H41" s="840"/>
      <c r="I41" s="841"/>
      <c r="J41" s="842"/>
      <c r="K41" s="79"/>
      <c r="L41" s="79"/>
      <c r="M41" s="79"/>
      <c r="N41" s="79"/>
      <c r="O41" s="79"/>
    </row>
    <row r="42" spans="1:15" ht="14.5" customHeight="1">
      <c r="A42" s="831" t="s">
        <v>2777</v>
      </c>
      <c r="B42" s="833">
        <f>IF(C25=0,0,C24/C25)</f>
        <v>0</v>
      </c>
      <c r="C42" s="834"/>
      <c r="D42" s="79"/>
      <c r="E42" s="497" t="s">
        <v>2778</v>
      </c>
      <c r="F42" s="498"/>
      <c r="G42" s="606">
        <f>IF(C25=0,0,C38/C25)</f>
        <v>0.47798563885209316</v>
      </c>
      <c r="H42" s="837" t="s">
        <v>2779</v>
      </c>
      <c r="I42" s="838"/>
      <c r="J42" s="839"/>
      <c r="K42" s="79"/>
      <c r="L42" s="79"/>
      <c r="M42" s="79"/>
      <c r="N42" s="79"/>
      <c r="O42" s="79"/>
    </row>
    <row r="43" spans="1:15" ht="15" customHeight="1" thickBot="1">
      <c r="A43" s="832"/>
      <c r="B43" s="835"/>
      <c r="C43" s="836"/>
      <c r="D43" s="79"/>
      <c r="E43" s="499"/>
      <c r="F43" s="500"/>
      <c r="G43" s="607"/>
      <c r="H43" s="840"/>
      <c r="I43" s="841"/>
      <c r="J43" s="842"/>
      <c r="K43" s="79"/>
      <c r="L43" s="79"/>
      <c r="M43" s="79"/>
      <c r="N43" s="79"/>
      <c r="O43" s="79"/>
    </row>
    <row r="44" spans="1:15">
      <c r="A44" s="79"/>
      <c r="B44" s="79"/>
      <c r="C44" s="79"/>
      <c r="D44" s="79"/>
      <c r="E44" s="79"/>
      <c r="F44" s="79"/>
      <c r="G44" s="79"/>
      <c r="H44" s="79"/>
      <c r="I44" s="79"/>
      <c r="J44" s="79"/>
      <c r="K44" s="79"/>
      <c r="L44" s="79"/>
      <c r="M44" s="79"/>
      <c r="N44" s="79"/>
      <c r="O44" s="79"/>
    </row>
    <row r="45" spans="1:15">
      <c r="A45" s="79"/>
      <c r="B45" s="79"/>
      <c r="C45" s="79"/>
      <c r="D45" s="79"/>
      <c r="E45" s="79"/>
      <c r="F45" s="79"/>
      <c r="G45" s="79"/>
      <c r="H45" s="79"/>
      <c r="I45" s="79"/>
      <c r="J45" s="79"/>
      <c r="K45" s="79"/>
      <c r="L45" s="79"/>
      <c r="M45" s="79"/>
      <c r="N45" s="79"/>
      <c r="O45" s="79"/>
    </row>
    <row r="46" spans="1:15">
      <c r="A46" s="79"/>
      <c r="B46" s="79"/>
      <c r="C46" s="79"/>
      <c r="D46" s="79"/>
      <c r="E46" s="79"/>
      <c r="F46" s="79"/>
      <c r="G46" s="79"/>
      <c r="H46" s="79"/>
      <c r="I46" s="79"/>
      <c r="J46" s="79"/>
      <c r="K46" s="79"/>
      <c r="L46" s="79"/>
      <c r="M46" s="79"/>
      <c r="N46" s="79"/>
      <c r="O46" s="79"/>
    </row>
    <row r="47" spans="1:15">
      <c r="A47" s="79"/>
      <c r="B47" s="79"/>
      <c r="C47" s="79"/>
      <c r="D47" s="79"/>
      <c r="E47" s="79"/>
      <c r="F47" s="79"/>
      <c r="G47" s="79"/>
      <c r="H47" s="79"/>
      <c r="I47" s="79"/>
      <c r="J47" s="79"/>
      <c r="K47" s="79"/>
      <c r="L47" s="79"/>
      <c r="M47" s="79"/>
      <c r="N47" s="79"/>
      <c r="O47" s="79"/>
    </row>
    <row r="48" spans="1:15">
      <c r="A48" s="79"/>
      <c r="B48" s="79"/>
      <c r="C48" s="79"/>
      <c r="D48" s="79"/>
      <c r="E48" s="79"/>
      <c r="F48" s="79"/>
      <c r="G48" s="79"/>
      <c r="H48" s="79"/>
      <c r="I48" s="79"/>
      <c r="J48" s="79"/>
      <c r="K48" s="79"/>
      <c r="L48" s="79"/>
      <c r="M48" s="79"/>
      <c r="N48" s="79"/>
      <c r="O48" s="79"/>
    </row>
  </sheetData>
  <mergeCells count="11">
    <mergeCell ref="A16:M17"/>
    <mergeCell ref="A40:A41"/>
    <mergeCell ref="B40:C41"/>
    <mergeCell ref="A42:A43"/>
    <mergeCell ref="B42:C43"/>
    <mergeCell ref="E40:F41"/>
    <mergeCell ref="E42:F43"/>
    <mergeCell ref="G40:G41"/>
    <mergeCell ref="G42:G43"/>
    <mergeCell ref="H40:J41"/>
    <mergeCell ref="H42:J43"/>
  </mergeCells>
  <phoneticPr fontId="14" type="noConversion"/>
  <pageMargins left="0.7" right="0.7" top="0.75" bottom="0.75" header="0.3" footer="0.3"/>
  <ignoredErrors>
    <ignoredError sqref="C35:L37" formula="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CC27-469C-4D52-A768-B15A11CAA65C}">
  <dimension ref="A1:Z487"/>
  <sheetViews>
    <sheetView showRowColHeaders="0" topLeftCell="A411" zoomScale="70" zoomScaleNormal="70" workbookViewId="0">
      <selection sqref="A1:C2"/>
    </sheetView>
  </sheetViews>
  <sheetFormatPr baseColWidth="10" defaultColWidth="11.453125" defaultRowHeight="14.5" zeroHeight="1" outlineLevelRow="1"/>
  <cols>
    <col min="1" max="1" width="90.26953125" customWidth="1"/>
    <col min="2" max="2" width="88.54296875" bestFit="1" customWidth="1"/>
    <col min="3" max="3" width="94.26953125" customWidth="1"/>
    <col min="4" max="4" width="58" customWidth="1"/>
    <col min="5" max="5" width="27.81640625" bestFit="1" customWidth="1"/>
    <col min="6" max="6" width="15.453125" bestFit="1" customWidth="1"/>
  </cols>
  <sheetData>
    <row r="1" spans="1:26">
      <c r="A1" s="401" t="s">
        <v>2197</v>
      </c>
      <c r="B1" s="402"/>
      <c r="C1" s="403"/>
      <c r="D1" s="79"/>
      <c r="E1" s="79"/>
      <c r="F1" s="79"/>
      <c r="G1" s="79"/>
      <c r="H1" s="79"/>
      <c r="I1" s="79"/>
      <c r="J1" s="79"/>
      <c r="K1" s="79"/>
      <c r="L1" s="79"/>
      <c r="M1" s="79"/>
      <c r="N1" s="79"/>
      <c r="O1" s="79"/>
      <c r="P1" s="79"/>
      <c r="Q1" s="79"/>
      <c r="R1" s="79"/>
      <c r="S1" s="79"/>
      <c r="T1" s="79"/>
      <c r="U1" s="79"/>
      <c r="V1" s="79"/>
      <c r="W1" s="79"/>
      <c r="X1" s="79"/>
      <c r="Y1" s="79"/>
      <c r="Z1" s="79"/>
    </row>
    <row r="2" spans="1:26" ht="15" thickBot="1">
      <c r="A2" s="404"/>
      <c r="B2" s="405"/>
      <c r="C2" s="406"/>
      <c r="D2" s="79"/>
      <c r="E2" s="79"/>
      <c r="F2" s="79"/>
      <c r="G2" s="79"/>
      <c r="H2" s="79"/>
      <c r="I2" s="79"/>
      <c r="J2" s="79"/>
      <c r="K2" s="79"/>
      <c r="L2" s="79"/>
      <c r="M2" s="79"/>
      <c r="N2" s="79"/>
      <c r="O2" s="79"/>
      <c r="P2" s="79"/>
      <c r="Q2" s="79"/>
      <c r="R2" s="79"/>
      <c r="S2" s="79"/>
      <c r="T2" s="79"/>
      <c r="U2" s="79"/>
      <c r="V2" s="79"/>
      <c r="W2" s="79"/>
      <c r="X2" s="79"/>
      <c r="Y2" s="79"/>
      <c r="Z2" s="79"/>
    </row>
    <row r="3" spans="1:26" ht="15" thickBot="1">
      <c r="A3" s="79"/>
      <c r="B3" s="79"/>
      <c r="C3" s="79"/>
      <c r="D3" s="79"/>
      <c r="E3" s="79"/>
      <c r="F3" s="79"/>
      <c r="G3" s="79"/>
      <c r="H3" s="79"/>
      <c r="I3" s="79"/>
      <c r="J3" s="79"/>
      <c r="K3" s="79"/>
      <c r="L3" s="79"/>
      <c r="M3" s="79"/>
      <c r="N3" s="79"/>
      <c r="O3" s="79"/>
      <c r="P3" s="79"/>
      <c r="Q3" s="79"/>
      <c r="R3" s="79"/>
      <c r="S3" s="79"/>
      <c r="T3" s="79"/>
      <c r="U3" s="79"/>
      <c r="V3" s="79"/>
      <c r="W3" s="79"/>
      <c r="X3" s="79"/>
      <c r="Y3" s="79"/>
      <c r="Z3" s="79"/>
    </row>
    <row r="4" spans="1:26" ht="19" thickBot="1">
      <c r="A4" s="480" t="s">
        <v>2198</v>
      </c>
      <c r="B4" s="481"/>
      <c r="C4" s="481"/>
      <c r="D4" s="482"/>
      <c r="E4" s="79"/>
      <c r="F4" s="79"/>
      <c r="G4" s="79"/>
      <c r="H4" s="79"/>
      <c r="I4" s="79"/>
      <c r="J4" s="79"/>
      <c r="K4" s="79"/>
      <c r="L4" s="79"/>
      <c r="M4" s="79"/>
      <c r="N4" s="79"/>
      <c r="O4" s="79"/>
      <c r="P4" s="79"/>
      <c r="Q4" s="79"/>
      <c r="R4" s="79"/>
      <c r="S4" s="79"/>
      <c r="T4" s="79"/>
      <c r="U4" s="79"/>
      <c r="V4" s="79"/>
      <c r="W4" s="79"/>
      <c r="X4" s="79"/>
      <c r="Y4" s="79"/>
      <c r="Z4" s="79"/>
    </row>
    <row r="5" spans="1:26" ht="19" thickBot="1">
      <c r="A5" s="487" t="s">
        <v>2199</v>
      </c>
      <c r="B5" s="488"/>
      <c r="C5" s="488"/>
      <c r="D5" s="489"/>
      <c r="E5" s="79"/>
      <c r="F5" s="79"/>
      <c r="G5" s="79"/>
      <c r="H5" s="79"/>
      <c r="I5" s="79"/>
      <c r="J5" s="79"/>
      <c r="K5" s="79"/>
      <c r="L5" s="79"/>
      <c r="M5" s="79"/>
      <c r="N5" s="79"/>
      <c r="O5" s="79"/>
      <c r="P5" s="79"/>
      <c r="Q5" s="79"/>
      <c r="R5" s="79"/>
      <c r="S5" s="79"/>
      <c r="T5" s="79"/>
      <c r="U5" s="79"/>
      <c r="V5" s="79"/>
      <c r="W5" s="79"/>
      <c r="X5" s="79"/>
      <c r="Y5" s="79"/>
      <c r="Z5" s="79"/>
    </row>
    <row r="6" spans="1:26" ht="19" thickBot="1">
      <c r="A6" s="494" t="s">
        <v>2200</v>
      </c>
      <c r="B6" s="495"/>
      <c r="C6" s="495"/>
      <c r="D6" s="496"/>
      <c r="E6" s="79"/>
      <c r="F6" s="79"/>
      <c r="G6" s="79"/>
      <c r="H6" s="79"/>
      <c r="I6" s="79"/>
      <c r="J6" s="79"/>
      <c r="K6" s="79"/>
      <c r="L6" s="79"/>
      <c r="M6" s="79"/>
      <c r="N6" s="79"/>
      <c r="O6" s="79"/>
      <c r="P6" s="79"/>
      <c r="Q6" s="79"/>
      <c r="R6" s="79"/>
      <c r="S6" s="79"/>
      <c r="T6" s="79"/>
      <c r="U6" s="79"/>
      <c r="V6" s="79"/>
      <c r="W6" s="79"/>
      <c r="X6" s="79"/>
      <c r="Y6" s="79"/>
      <c r="Z6" s="79"/>
    </row>
    <row r="7" spans="1:26" ht="15" thickBot="1">
      <c r="A7" s="283"/>
      <c r="B7" s="283"/>
      <c r="C7" s="283"/>
      <c r="D7" s="283"/>
      <c r="E7" s="79"/>
      <c r="F7" s="79"/>
      <c r="G7" s="79"/>
      <c r="H7" s="79"/>
      <c r="I7" s="79"/>
      <c r="J7" s="79"/>
      <c r="K7" s="79"/>
      <c r="L7" s="79"/>
      <c r="M7" s="79"/>
      <c r="N7" s="79"/>
      <c r="O7" s="79"/>
      <c r="P7" s="79"/>
      <c r="Q7" s="79"/>
      <c r="R7" s="79"/>
      <c r="S7" s="79"/>
      <c r="T7" s="79"/>
      <c r="U7" s="79"/>
      <c r="V7" s="79"/>
      <c r="W7" s="79"/>
      <c r="X7" s="79"/>
      <c r="Y7" s="79"/>
      <c r="Z7" s="79"/>
    </row>
    <row r="8" spans="1:26" ht="24" thickBot="1">
      <c r="A8" s="490" t="s">
        <v>2201</v>
      </c>
      <c r="B8" s="491"/>
      <c r="C8" s="283"/>
      <c r="D8" s="283"/>
      <c r="E8" s="79"/>
      <c r="F8" s="79"/>
      <c r="G8" s="79"/>
      <c r="H8" s="79"/>
      <c r="I8" s="79"/>
      <c r="J8" s="79"/>
      <c r="K8" s="79"/>
      <c r="L8" s="79"/>
      <c r="M8" s="79"/>
      <c r="N8" s="79"/>
      <c r="O8" s="79"/>
      <c r="P8" s="79"/>
      <c r="Q8" s="79"/>
      <c r="R8" s="79"/>
      <c r="S8" s="79"/>
      <c r="T8" s="79"/>
      <c r="U8" s="79"/>
      <c r="V8" s="79"/>
      <c r="W8" s="79"/>
      <c r="X8" s="79"/>
      <c r="Y8" s="79"/>
      <c r="Z8" s="79"/>
    </row>
    <row r="9" spans="1:26" ht="21.5" thickBot="1">
      <c r="A9" s="291"/>
      <c r="B9" s="291"/>
      <c r="C9" s="79"/>
      <c r="D9" s="79"/>
      <c r="E9" s="79"/>
      <c r="F9" s="79"/>
      <c r="G9" s="79"/>
      <c r="H9" s="79"/>
      <c r="I9" s="79"/>
      <c r="J9" s="79"/>
      <c r="K9" s="79"/>
      <c r="L9" s="79"/>
      <c r="M9" s="79"/>
      <c r="N9" s="79"/>
      <c r="O9" s="79"/>
      <c r="P9" s="79"/>
      <c r="Q9" s="79"/>
      <c r="R9" s="79"/>
      <c r="S9" s="79"/>
      <c r="T9" s="79"/>
      <c r="U9" s="79"/>
      <c r="V9" s="79"/>
      <c r="W9" s="79"/>
      <c r="X9" s="79"/>
      <c r="Y9" s="79"/>
      <c r="Z9" s="79"/>
    </row>
    <row r="10" spans="1:26" ht="21.5" thickBot="1">
      <c r="A10" s="112" t="s">
        <v>2202</v>
      </c>
      <c r="B10" s="294" t="s">
        <v>5</v>
      </c>
      <c r="C10" s="79"/>
      <c r="D10" s="79"/>
      <c r="E10" s="79"/>
      <c r="F10" s="79"/>
      <c r="G10" s="79"/>
      <c r="H10" s="79"/>
      <c r="I10" s="79"/>
      <c r="J10" s="79"/>
      <c r="K10" s="79"/>
      <c r="L10" s="79"/>
      <c r="M10" s="79"/>
      <c r="N10" s="79"/>
      <c r="O10" s="79"/>
      <c r="P10" s="79"/>
      <c r="Q10" s="79"/>
      <c r="R10" s="79"/>
      <c r="S10" s="79"/>
      <c r="T10" s="79"/>
      <c r="U10" s="79"/>
      <c r="V10" s="79"/>
      <c r="W10" s="79"/>
      <c r="X10" s="79"/>
      <c r="Y10" s="79"/>
      <c r="Z10" s="79"/>
    </row>
    <row r="11" spans="1:26" ht="21.5" thickBot="1">
      <c r="A11" s="291"/>
      <c r="B11" s="291"/>
      <c r="C11" s="79"/>
      <c r="D11" s="79"/>
      <c r="E11" s="79"/>
      <c r="F11" s="79"/>
      <c r="G11" s="79"/>
      <c r="H11" s="79"/>
      <c r="I11" s="79"/>
      <c r="J11" s="79"/>
      <c r="K11" s="79"/>
      <c r="L11" s="79"/>
      <c r="M11" s="79"/>
      <c r="N11" s="79"/>
      <c r="O11" s="79"/>
      <c r="P11" s="79"/>
      <c r="Q11" s="79"/>
      <c r="R11" s="79"/>
      <c r="S11" s="79"/>
      <c r="T11" s="79"/>
      <c r="U11" s="79"/>
      <c r="V11" s="79"/>
      <c r="W11" s="79"/>
      <c r="X11" s="79"/>
      <c r="Y11" s="79"/>
      <c r="Z11" s="79"/>
    </row>
    <row r="12" spans="1:26" ht="21.5" thickBot="1">
      <c r="A12" s="112" t="s">
        <v>2203</v>
      </c>
      <c r="B12" s="294" t="s">
        <v>445</v>
      </c>
      <c r="C12" s="79"/>
      <c r="D12" s="79"/>
      <c r="E12" s="79"/>
      <c r="F12" s="79"/>
      <c r="G12" s="79"/>
      <c r="H12" s="79"/>
      <c r="I12" s="79"/>
      <c r="J12" s="79"/>
      <c r="K12" s="79"/>
      <c r="L12" s="79"/>
      <c r="M12" s="79"/>
      <c r="N12" s="79"/>
      <c r="O12" s="79"/>
      <c r="P12" s="79"/>
      <c r="Q12" s="79"/>
      <c r="R12" s="79"/>
      <c r="S12" s="79"/>
      <c r="T12" s="79"/>
      <c r="U12" s="79"/>
      <c r="V12" s="79"/>
      <c r="W12" s="79"/>
      <c r="X12" s="79"/>
      <c r="Y12" s="79"/>
      <c r="Z12" s="79"/>
    </row>
    <row r="13" spans="1:26" ht="21" hidden="1">
      <c r="A13" s="284" t="str">
        <f>B10&amp;B12</f>
        <v>ANTIOQUIABELLO</v>
      </c>
      <c r="B13" s="349">
        <f xml:space="preserve"> VLOOKUP(A13,MUNICIPIOS!AP4:AQ1124,2,0)</f>
        <v>5088</v>
      </c>
      <c r="C13" s="79"/>
      <c r="D13" s="79"/>
      <c r="E13" s="79"/>
      <c r="F13" s="79"/>
      <c r="G13" s="79"/>
      <c r="H13" s="79"/>
      <c r="I13" s="79"/>
      <c r="J13" s="79"/>
      <c r="K13" s="79"/>
      <c r="L13" s="79"/>
      <c r="M13" s="79"/>
      <c r="N13" s="79"/>
      <c r="O13" s="79"/>
      <c r="P13" s="79"/>
      <c r="Q13" s="79"/>
      <c r="R13" s="79"/>
      <c r="S13" s="79"/>
      <c r="T13" s="79"/>
      <c r="U13" s="79"/>
      <c r="V13" s="79"/>
      <c r="W13" s="79"/>
      <c r="X13" s="79"/>
      <c r="Y13" s="79"/>
      <c r="Z13" s="79"/>
    </row>
    <row r="14" spans="1:26" ht="21.5" thickBot="1">
      <c r="A14" s="291"/>
      <c r="B14" s="291"/>
      <c r="C14" s="79"/>
      <c r="D14" s="79"/>
      <c r="E14" s="79"/>
      <c r="F14" s="79"/>
      <c r="G14" s="79"/>
      <c r="H14" s="79"/>
      <c r="I14" s="79"/>
      <c r="J14" s="79"/>
      <c r="K14" s="79"/>
      <c r="L14" s="79"/>
      <c r="M14" s="79"/>
      <c r="N14" s="79"/>
      <c r="O14" s="79"/>
      <c r="P14" s="79"/>
      <c r="Q14" s="79"/>
      <c r="R14" s="79"/>
      <c r="S14" s="79"/>
      <c r="T14" s="79"/>
      <c r="U14" s="79"/>
      <c r="V14" s="79"/>
      <c r="W14" s="79"/>
      <c r="X14" s="79"/>
      <c r="Y14" s="79"/>
      <c r="Z14" s="79"/>
    </row>
    <row r="15" spans="1:26" ht="21.5" thickBot="1">
      <c r="A15" s="333" t="s">
        <v>2204</v>
      </c>
      <c r="B15" s="294" t="s">
        <v>2205</v>
      </c>
      <c r="C15" s="79"/>
      <c r="D15" s="79"/>
      <c r="E15" s="79"/>
      <c r="F15" s="79"/>
      <c r="G15" s="79"/>
      <c r="H15" s="79"/>
      <c r="I15" s="79"/>
      <c r="J15" s="79"/>
      <c r="K15" s="79"/>
      <c r="L15" s="79"/>
      <c r="M15" s="79"/>
      <c r="N15" s="79"/>
      <c r="O15" s="79"/>
      <c r="P15" s="79"/>
      <c r="Q15" s="79"/>
      <c r="R15" s="79"/>
      <c r="S15" s="79"/>
      <c r="T15" s="79"/>
      <c r="U15" s="79"/>
      <c r="V15" s="79"/>
      <c r="W15" s="79"/>
      <c r="X15" s="79"/>
      <c r="Y15" s="79"/>
      <c r="Z15" s="79"/>
    </row>
    <row r="16" spans="1:26" ht="21.5" thickBot="1">
      <c r="A16" s="291"/>
      <c r="B16" s="291"/>
      <c r="C16" s="79"/>
      <c r="D16" s="79"/>
      <c r="E16" s="79"/>
      <c r="F16" s="79"/>
      <c r="G16" s="79"/>
      <c r="H16" s="79"/>
      <c r="I16" s="79"/>
      <c r="J16" s="79"/>
      <c r="K16" s="79"/>
      <c r="L16" s="79"/>
      <c r="M16" s="79"/>
      <c r="N16" s="79"/>
      <c r="O16" s="79"/>
      <c r="P16" s="79"/>
      <c r="Q16" s="79"/>
      <c r="R16" s="79"/>
      <c r="S16" s="79"/>
      <c r="T16" s="79"/>
      <c r="U16" s="79"/>
      <c r="V16" s="79"/>
      <c r="W16" s="79"/>
      <c r="X16" s="79"/>
      <c r="Y16" s="79"/>
      <c r="Z16" s="79"/>
    </row>
    <row r="17" spans="1:26" ht="21.5" thickBot="1">
      <c r="A17" s="333" t="s">
        <v>2206</v>
      </c>
      <c r="B17" s="294" t="s">
        <v>2207</v>
      </c>
      <c r="C17" s="79"/>
      <c r="D17" s="79"/>
      <c r="E17" s="79"/>
      <c r="F17" s="79"/>
      <c r="G17" s="79"/>
      <c r="H17" s="79"/>
      <c r="I17" s="79"/>
      <c r="J17" s="79"/>
      <c r="K17" s="79"/>
      <c r="L17" s="79"/>
      <c r="M17" s="79"/>
      <c r="N17" s="79"/>
      <c r="O17" s="79"/>
      <c r="P17" s="79"/>
      <c r="Q17" s="79"/>
      <c r="R17" s="79"/>
      <c r="S17" s="79"/>
      <c r="T17" s="79"/>
      <c r="U17" s="79"/>
      <c r="V17" s="79"/>
      <c r="W17" s="79"/>
      <c r="X17" s="79"/>
      <c r="Y17" s="79"/>
      <c r="Z17" s="79"/>
    </row>
    <row r="18" spans="1:26" ht="21.5" thickBot="1">
      <c r="A18" s="291"/>
      <c r="B18" s="291"/>
      <c r="C18" s="79"/>
      <c r="D18" s="79"/>
      <c r="E18" s="79"/>
      <c r="F18" s="79"/>
      <c r="G18" s="79"/>
      <c r="H18" s="79"/>
      <c r="I18" s="79"/>
      <c r="J18" s="79"/>
      <c r="K18" s="79"/>
      <c r="L18" s="79"/>
      <c r="M18" s="79"/>
      <c r="N18" s="79"/>
      <c r="O18" s="79"/>
      <c r="P18" s="79"/>
      <c r="Q18" s="79"/>
      <c r="R18" s="79"/>
      <c r="S18" s="79"/>
      <c r="T18" s="79"/>
      <c r="U18" s="79"/>
      <c r="V18" s="79"/>
      <c r="W18" s="79"/>
      <c r="X18" s="79"/>
      <c r="Y18" s="79"/>
      <c r="Z18" s="79"/>
    </row>
    <row r="19" spans="1:26" ht="21.5" thickBot="1">
      <c r="A19" s="333" t="s">
        <v>2208</v>
      </c>
      <c r="B19" s="294" t="s">
        <v>2209</v>
      </c>
      <c r="C19" s="79"/>
      <c r="D19" s="79"/>
      <c r="E19" s="79"/>
      <c r="F19" s="79"/>
      <c r="G19" s="79"/>
      <c r="H19" s="79"/>
      <c r="I19" s="79"/>
      <c r="J19" s="79"/>
      <c r="K19" s="79"/>
      <c r="L19" s="79"/>
      <c r="M19" s="79"/>
      <c r="N19" s="79"/>
      <c r="O19" s="79"/>
      <c r="P19" s="79"/>
      <c r="Q19" s="79"/>
      <c r="R19" s="79"/>
      <c r="S19" s="79"/>
      <c r="T19" s="79"/>
      <c r="U19" s="79"/>
      <c r="V19" s="79"/>
      <c r="W19" s="79"/>
      <c r="X19" s="79"/>
      <c r="Y19" s="79"/>
      <c r="Z19" s="79"/>
    </row>
    <row r="20" spans="1:26" ht="21.5" thickBot="1">
      <c r="A20" s="291"/>
      <c r="B20" s="291"/>
      <c r="C20" s="79"/>
      <c r="D20" s="79"/>
      <c r="E20" s="79"/>
      <c r="F20" s="79"/>
      <c r="G20" s="79"/>
      <c r="H20" s="79"/>
      <c r="I20" s="79"/>
      <c r="J20" s="79"/>
      <c r="K20" s="79"/>
      <c r="L20" s="79"/>
      <c r="M20" s="79"/>
      <c r="N20" s="79"/>
      <c r="O20" s="79"/>
      <c r="P20" s="79"/>
      <c r="Q20" s="79"/>
      <c r="R20" s="79"/>
      <c r="S20" s="79"/>
      <c r="T20" s="79"/>
      <c r="U20" s="79"/>
      <c r="V20" s="79"/>
      <c r="W20" s="79"/>
      <c r="X20" s="79"/>
      <c r="Y20" s="79"/>
      <c r="Z20" s="79"/>
    </row>
    <row r="21" spans="1:26" ht="21.5" thickBot="1">
      <c r="A21" s="333" t="s">
        <v>2210</v>
      </c>
      <c r="B21" s="294">
        <v>1310</v>
      </c>
      <c r="C21" s="79"/>
      <c r="D21" s="79"/>
      <c r="E21" s="79"/>
      <c r="F21" s="79"/>
      <c r="G21" s="79"/>
      <c r="H21" s="79"/>
      <c r="I21" s="79"/>
      <c r="J21" s="79"/>
      <c r="K21" s="79"/>
      <c r="L21" s="79"/>
      <c r="M21" s="79"/>
      <c r="N21" s="79"/>
      <c r="O21" s="79"/>
      <c r="P21" s="79"/>
      <c r="Q21" s="79"/>
      <c r="R21" s="79"/>
      <c r="S21" s="79"/>
      <c r="T21" s="79"/>
      <c r="U21" s="79"/>
      <c r="V21" s="79"/>
      <c r="W21" s="79"/>
      <c r="X21" s="79"/>
      <c r="Y21" s="79"/>
      <c r="Z21" s="79"/>
    </row>
    <row r="22" spans="1:26" ht="21.5" thickBot="1">
      <c r="A22" s="291"/>
      <c r="B22" s="291"/>
      <c r="C22" s="79"/>
      <c r="D22" s="79"/>
      <c r="E22" s="79"/>
      <c r="F22" s="79"/>
      <c r="G22" s="79"/>
      <c r="H22" s="79"/>
      <c r="I22" s="79"/>
      <c r="J22" s="79"/>
      <c r="K22" s="79"/>
      <c r="L22" s="79"/>
      <c r="M22" s="79"/>
      <c r="N22" s="79"/>
      <c r="O22" s="79"/>
      <c r="P22" s="79"/>
      <c r="Q22" s="79"/>
      <c r="R22" s="79"/>
      <c r="S22" s="79"/>
      <c r="T22" s="79"/>
      <c r="U22" s="79"/>
      <c r="V22" s="79"/>
      <c r="W22" s="79"/>
      <c r="X22" s="79"/>
      <c r="Y22" s="79"/>
      <c r="Z22" s="79"/>
    </row>
    <row r="23" spans="1:26" ht="21.5" thickBot="1">
      <c r="A23" s="333" t="s">
        <v>2211</v>
      </c>
      <c r="B23" s="294" t="s">
        <v>2212</v>
      </c>
      <c r="C23" s="79"/>
      <c r="D23" s="79"/>
      <c r="E23" s="79"/>
      <c r="F23" s="79"/>
      <c r="G23" s="79"/>
      <c r="H23" s="79"/>
      <c r="I23" s="79"/>
      <c r="J23" s="79"/>
      <c r="K23" s="79"/>
      <c r="L23" s="79"/>
      <c r="M23" s="79"/>
      <c r="N23" s="79"/>
      <c r="O23" s="79"/>
      <c r="P23" s="79"/>
      <c r="Q23" s="79"/>
      <c r="R23" s="79"/>
      <c r="S23" s="79"/>
      <c r="T23" s="79"/>
      <c r="U23" s="79"/>
      <c r="V23" s="79"/>
      <c r="W23" s="79"/>
      <c r="X23" s="79"/>
      <c r="Y23" s="79"/>
      <c r="Z23" s="79"/>
    </row>
    <row r="24" spans="1:26" ht="21.5" thickBot="1">
      <c r="A24" s="291"/>
      <c r="B24" s="291"/>
      <c r="C24" s="79"/>
      <c r="D24" s="79"/>
      <c r="E24" s="79"/>
      <c r="F24" s="79"/>
      <c r="G24" s="79"/>
      <c r="H24" s="79"/>
      <c r="I24" s="79"/>
      <c r="J24" s="79"/>
      <c r="K24" s="79"/>
      <c r="L24" s="79"/>
      <c r="M24" s="79"/>
      <c r="N24" s="79"/>
      <c r="O24" s="79"/>
      <c r="P24" s="79"/>
      <c r="Q24" s="79"/>
      <c r="R24" s="79"/>
      <c r="S24" s="79"/>
      <c r="T24" s="79"/>
      <c r="U24" s="79"/>
      <c r="V24" s="79"/>
      <c r="W24" s="79"/>
      <c r="X24" s="79"/>
      <c r="Y24" s="79"/>
      <c r="Z24" s="79"/>
    </row>
    <row r="25" spans="1:26" ht="21.5" thickBot="1">
      <c r="A25" s="333" t="s">
        <v>2213</v>
      </c>
      <c r="B25" s="293" t="s">
        <v>2214</v>
      </c>
      <c r="C25" s="79"/>
      <c r="D25" s="79"/>
      <c r="E25" s="79"/>
      <c r="F25" s="79"/>
      <c r="G25" s="79"/>
      <c r="H25" s="79"/>
      <c r="I25" s="79"/>
      <c r="J25" s="79"/>
      <c r="K25" s="79"/>
      <c r="L25" s="79"/>
      <c r="M25" s="79"/>
      <c r="N25" s="79"/>
      <c r="O25" s="79"/>
      <c r="P25" s="79"/>
      <c r="Q25" s="79"/>
      <c r="R25" s="79"/>
      <c r="S25" s="79"/>
      <c r="T25" s="79"/>
      <c r="U25" s="79"/>
      <c r="V25" s="79"/>
      <c r="W25" s="79"/>
      <c r="X25" s="79"/>
      <c r="Y25" s="79"/>
      <c r="Z25" s="79"/>
    </row>
    <row r="26" spans="1:26" ht="21.5" thickBot="1">
      <c r="A26" s="291"/>
      <c r="B26" s="291"/>
      <c r="C26" s="79"/>
      <c r="D26" s="79"/>
      <c r="E26" s="79"/>
      <c r="F26" s="79"/>
      <c r="G26" s="79"/>
      <c r="H26" s="79"/>
      <c r="I26" s="79"/>
      <c r="J26" s="79"/>
      <c r="K26" s="79"/>
      <c r="L26" s="79"/>
      <c r="M26" s="79"/>
      <c r="N26" s="79"/>
      <c r="O26" s="79"/>
      <c r="P26" s="79"/>
      <c r="Q26" s="79"/>
      <c r="R26" s="79"/>
      <c r="S26" s="79"/>
      <c r="T26" s="79"/>
      <c r="U26" s="79"/>
      <c r="V26" s="79"/>
      <c r="W26" s="79"/>
      <c r="X26" s="79"/>
      <c r="Y26" s="79"/>
      <c r="Z26" s="79"/>
    </row>
    <row r="27" spans="1:26" ht="21" customHeight="1" thickBot="1">
      <c r="A27" s="483" t="s">
        <v>2215</v>
      </c>
      <c r="B27" s="484"/>
      <c r="C27" s="79"/>
      <c r="D27" s="79"/>
      <c r="E27" s="79"/>
      <c r="F27" s="79"/>
      <c r="G27" s="79"/>
      <c r="H27" s="79"/>
      <c r="I27" s="79"/>
      <c r="J27" s="79"/>
      <c r="K27" s="79"/>
      <c r="L27" s="79"/>
      <c r="M27" s="79"/>
      <c r="N27" s="79"/>
      <c r="O27" s="79"/>
      <c r="P27" s="79"/>
      <c r="Q27" s="79"/>
      <c r="R27" s="79"/>
      <c r="S27" s="79"/>
      <c r="T27" s="79"/>
      <c r="U27" s="79"/>
      <c r="V27" s="79"/>
      <c r="W27" s="79"/>
      <c r="X27" s="79"/>
      <c r="Y27" s="79"/>
      <c r="Z27" s="79"/>
    </row>
    <row r="28" spans="1:26" ht="21" customHeight="1" thickBot="1">
      <c r="A28" s="291"/>
      <c r="B28" s="291"/>
      <c r="C28" s="79"/>
      <c r="D28" s="79"/>
      <c r="E28" s="79"/>
      <c r="F28" s="79"/>
      <c r="G28" s="79"/>
      <c r="H28" s="79"/>
      <c r="I28" s="79"/>
      <c r="J28" s="79"/>
      <c r="K28" s="79"/>
      <c r="L28" s="79"/>
      <c r="M28" s="79"/>
      <c r="N28" s="79"/>
      <c r="O28" s="79"/>
      <c r="P28" s="79"/>
      <c r="Q28" s="79"/>
      <c r="R28" s="79"/>
      <c r="S28" s="79"/>
      <c r="T28" s="79"/>
      <c r="U28" s="79"/>
      <c r="V28" s="79"/>
      <c r="W28" s="79"/>
      <c r="X28" s="79"/>
      <c r="Y28" s="79"/>
      <c r="Z28" s="79"/>
    </row>
    <row r="29" spans="1:26" ht="21.5" thickBot="1">
      <c r="A29" s="112" t="s">
        <v>2216</v>
      </c>
      <c r="B29" s="113">
        <v>150</v>
      </c>
      <c r="C29" s="79"/>
      <c r="D29" s="79"/>
      <c r="E29" s="79"/>
      <c r="F29" s="79"/>
      <c r="G29" s="79"/>
      <c r="H29" s="79"/>
      <c r="I29" s="79"/>
      <c r="J29" s="79"/>
      <c r="K29" s="79"/>
      <c r="L29" s="79"/>
      <c r="M29" s="79"/>
      <c r="N29" s="79"/>
      <c r="O29" s="79"/>
      <c r="P29" s="79"/>
      <c r="Q29" s="79"/>
      <c r="R29" s="79"/>
      <c r="S29" s="79"/>
      <c r="T29" s="79"/>
      <c r="U29" s="79"/>
      <c r="V29" s="79"/>
      <c r="W29" s="79"/>
      <c r="X29" s="79"/>
      <c r="Y29" s="79"/>
      <c r="Z29" s="79"/>
    </row>
    <row r="30" spans="1:26" ht="21" customHeight="1" thickBot="1">
      <c r="A30" s="291"/>
      <c r="B30" s="291"/>
      <c r="C30" s="79"/>
      <c r="D30" s="79"/>
      <c r="E30" s="79"/>
      <c r="F30" s="79"/>
      <c r="G30" s="79"/>
      <c r="H30" s="79"/>
      <c r="I30" s="79"/>
      <c r="J30" s="79"/>
      <c r="K30" s="79"/>
      <c r="L30" s="79"/>
      <c r="M30" s="79"/>
      <c r="N30" s="79"/>
      <c r="O30" s="79"/>
      <c r="P30" s="79"/>
      <c r="Q30" s="79"/>
      <c r="R30" s="79"/>
      <c r="S30" s="79"/>
      <c r="T30" s="79"/>
      <c r="U30" s="79"/>
      <c r="V30" s="79"/>
      <c r="W30" s="79"/>
      <c r="X30" s="79"/>
      <c r="Y30" s="79"/>
      <c r="Z30" s="79"/>
    </row>
    <row r="31" spans="1:26" ht="21.5" thickBot="1">
      <c r="A31" s="112" t="s">
        <v>2217</v>
      </c>
      <c r="B31" s="113">
        <v>200</v>
      </c>
      <c r="C31" s="79"/>
      <c r="D31" s="79"/>
      <c r="E31" s="79"/>
      <c r="F31" s="79"/>
      <c r="G31" s="79"/>
      <c r="H31" s="79"/>
      <c r="I31" s="79"/>
      <c r="J31" s="79"/>
      <c r="K31" s="79"/>
      <c r="L31" s="79"/>
      <c r="M31" s="79"/>
      <c r="N31" s="79"/>
      <c r="O31" s="79"/>
      <c r="P31" s="79"/>
      <c r="Q31" s="79"/>
      <c r="R31" s="79"/>
      <c r="S31" s="79"/>
      <c r="T31" s="79"/>
      <c r="U31" s="79"/>
      <c r="V31" s="79"/>
      <c r="W31" s="79"/>
      <c r="X31" s="79"/>
      <c r="Y31" s="79"/>
      <c r="Z31" s="79"/>
    </row>
    <row r="32" spans="1:26" ht="21" customHeight="1" thickBot="1">
      <c r="A32" s="291"/>
      <c r="B32" s="291"/>
      <c r="C32" s="79"/>
      <c r="D32" s="79"/>
      <c r="E32" s="79"/>
      <c r="F32" s="79"/>
      <c r="G32" s="79"/>
      <c r="H32" s="79"/>
      <c r="I32" s="79"/>
      <c r="J32" s="79"/>
      <c r="K32" s="79"/>
      <c r="L32" s="79"/>
      <c r="M32" s="79"/>
      <c r="N32" s="79"/>
      <c r="O32" s="79"/>
      <c r="P32" s="79"/>
      <c r="Q32" s="79"/>
      <c r="R32" s="79"/>
      <c r="S32" s="79"/>
      <c r="T32" s="79"/>
      <c r="U32" s="79"/>
      <c r="V32" s="79"/>
      <c r="W32" s="79"/>
      <c r="X32" s="79"/>
      <c r="Y32" s="79"/>
      <c r="Z32" s="79"/>
    </row>
    <row r="33" spans="1:26" ht="21.5" thickBot="1">
      <c r="A33" s="112" t="s">
        <v>2218</v>
      </c>
      <c r="B33" s="113">
        <v>20</v>
      </c>
      <c r="C33" s="79"/>
      <c r="D33" s="79"/>
      <c r="E33" s="79"/>
      <c r="F33" s="79"/>
      <c r="G33" s="79"/>
      <c r="H33" s="79"/>
      <c r="I33" s="79"/>
      <c r="J33" s="79"/>
      <c r="K33" s="79"/>
      <c r="L33" s="79"/>
      <c r="M33" s="79"/>
      <c r="N33" s="79"/>
      <c r="O33" s="79"/>
      <c r="P33" s="79"/>
      <c r="Q33" s="79"/>
      <c r="R33" s="79"/>
      <c r="S33" s="79"/>
      <c r="T33" s="79"/>
      <c r="U33" s="79"/>
      <c r="V33" s="79"/>
      <c r="W33" s="79"/>
      <c r="X33" s="79"/>
      <c r="Y33" s="79"/>
      <c r="Z33" s="79"/>
    </row>
    <row r="34" spans="1:26" ht="21" customHeight="1" thickBot="1">
      <c r="A34" s="291"/>
      <c r="B34" s="291"/>
      <c r="C34" s="79"/>
      <c r="D34" s="79"/>
      <c r="E34" s="79"/>
      <c r="F34" s="79"/>
      <c r="G34" s="79"/>
      <c r="H34" s="79"/>
      <c r="I34" s="79"/>
      <c r="J34" s="79"/>
      <c r="K34" s="79"/>
      <c r="L34" s="79"/>
      <c r="M34" s="79"/>
      <c r="N34" s="79"/>
      <c r="O34" s="79"/>
      <c r="P34" s="79"/>
      <c r="Q34" s="79"/>
      <c r="R34" s="79"/>
      <c r="S34" s="79"/>
      <c r="T34" s="79"/>
      <c r="U34" s="79"/>
      <c r="V34" s="79"/>
      <c r="W34" s="79"/>
      <c r="X34" s="79"/>
      <c r="Y34" s="79"/>
      <c r="Z34" s="79"/>
    </row>
    <row r="35" spans="1:26" ht="21.5" thickBot="1">
      <c r="A35" s="112" t="s">
        <v>2219</v>
      </c>
      <c r="B35" s="113">
        <v>250</v>
      </c>
      <c r="C35" s="79"/>
      <c r="D35" s="79"/>
      <c r="E35" s="79"/>
      <c r="F35" s="79"/>
      <c r="G35" s="79"/>
      <c r="H35" s="79"/>
      <c r="I35" s="79"/>
      <c r="J35" s="79"/>
      <c r="K35" s="79"/>
      <c r="L35" s="79"/>
      <c r="M35" s="79"/>
      <c r="N35" s="79"/>
      <c r="O35" s="79"/>
      <c r="P35" s="79"/>
      <c r="Q35" s="79"/>
      <c r="R35" s="79"/>
      <c r="S35" s="79"/>
      <c r="T35" s="79"/>
      <c r="U35" s="79"/>
      <c r="V35" s="79"/>
      <c r="W35" s="79"/>
      <c r="X35" s="79"/>
      <c r="Y35" s="79"/>
      <c r="Z35" s="79"/>
    </row>
    <row r="36" spans="1:26" ht="21" customHeight="1" thickBot="1">
      <c r="A36" s="289"/>
      <c r="B36" s="291"/>
      <c r="C36" s="79"/>
      <c r="D36" s="79"/>
      <c r="E36" s="79"/>
      <c r="F36" s="79"/>
      <c r="G36" s="79"/>
      <c r="H36" s="79"/>
      <c r="I36" s="79"/>
      <c r="J36" s="79"/>
      <c r="K36" s="79"/>
      <c r="L36" s="79"/>
      <c r="M36" s="79"/>
      <c r="N36" s="79"/>
      <c r="O36" s="79"/>
      <c r="P36" s="79"/>
      <c r="Q36" s="79"/>
      <c r="R36" s="79"/>
      <c r="S36" s="79"/>
      <c r="T36" s="79"/>
      <c r="U36" s="79"/>
      <c r="V36" s="79"/>
      <c r="W36" s="79"/>
      <c r="X36" s="79"/>
      <c r="Y36" s="79"/>
      <c r="Z36" s="79"/>
    </row>
    <row r="37" spans="1:26" ht="21.5" thickBot="1">
      <c r="A37" s="286" t="s">
        <v>2220</v>
      </c>
      <c r="B37" s="308">
        <f>SUM(B29:B35)</f>
        <v>620</v>
      </c>
      <c r="C37" s="79"/>
      <c r="D37" s="79"/>
      <c r="E37" s="79"/>
      <c r="F37" s="79"/>
      <c r="G37" s="79"/>
      <c r="H37" s="79"/>
      <c r="I37" s="79"/>
      <c r="J37" s="79"/>
      <c r="K37" s="79"/>
      <c r="L37" s="79"/>
      <c r="M37" s="79"/>
      <c r="N37" s="79"/>
      <c r="O37" s="79"/>
      <c r="P37" s="79"/>
      <c r="Q37" s="79"/>
      <c r="R37" s="79"/>
      <c r="S37" s="79"/>
      <c r="T37" s="79"/>
      <c r="U37" s="79"/>
      <c r="V37" s="79"/>
      <c r="W37" s="79"/>
      <c r="X37" s="79"/>
      <c r="Y37" s="79"/>
      <c r="Z37" s="79"/>
    </row>
    <row r="38" spans="1:26" ht="21" customHeight="1" thickBot="1">
      <c r="A38" s="291"/>
      <c r="B38" s="291"/>
      <c r="C38" s="79"/>
      <c r="D38" s="79"/>
      <c r="E38" s="79"/>
      <c r="F38" s="79"/>
      <c r="G38" s="79"/>
      <c r="H38" s="79"/>
      <c r="I38" s="79"/>
      <c r="J38" s="79"/>
      <c r="K38" s="79"/>
      <c r="L38" s="79"/>
      <c r="M38" s="79"/>
      <c r="N38" s="79"/>
      <c r="O38" s="79"/>
      <c r="P38" s="79"/>
      <c r="Q38" s="79"/>
      <c r="R38" s="79"/>
      <c r="S38" s="79"/>
      <c r="T38" s="79"/>
      <c r="U38" s="79"/>
      <c r="V38" s="79"/>
      <c r="W38" s="79"/>
      <c r="X38" s="79"/>
      <c r="Y38" s="79"/>
      <c r="Z38" s="79"/>
    </row>
    <row r="39" spans="1:26" ht="21.5" thickBot="1">
      <c r="A39" s="333" t="s">
        <v>2221</v>
      </c>
      <c r="B39" s="113">
        <v>300</v>
      </c>
      <c r="C39" s="79"/>
      <c r="D39" s="79"/>
      <c r="E39" s="79"/>
      <c r="F39" s="79"/>
      <c r="G39" s="79"/>
      <c r="H39" s="79"/>
      <c r="I39" s="79"/>
      <c r="J39" s="79"/>
      <c r="K39" s="79"/>
      <c r="L39" s="79"/>
      <c r="M39" s="79"/>
      <c r="N39" s="79"/>
      <c r="O39" s="79"/>
      <c r="P39" s="79"/>
      <c r="Q39" s="79"/>
      <c r="R39" s="79"/>
      <c r="S39" s="79"/>
      <c r="T39" s="79"/>
      <c r="U39" s="79"/>
      <c r="V39" s="79"/>
      <c r="W39" s="79"/>
      <c r="X39" s="79"/>
      <c r="Y39" s="79"/>
      <c r="Z39" s="79"/>
    </row>
    <row r="40" spans="1:26" ht="21" customHeight="1" thickBot="1">
      <c r="A40" s="291"/>
      <c r="B40" s="291"/>
      <c r="C40" s="79"/>
      <c r="D40" s="79"/>
      <c r="E40" s="79"/>
      <c r="F40" s="79"/>
      <c r="G40" s="79"/>
      <c r="H40" s="79"/>
      <c r="I40" s="79"/>
      <c r="J40" s="79"/>
      <c r="K40" s="79"/>
      <c r="L40" s="79"/>
      <c r="M40" s="79"/>
      <c r="N40" s="79"/>
      <c r="O40" s="79"/>
      <c r="P40" s="79"/>
      <c r="Q40" s="79"/>
      <c r="R40" s="79"/>
      <c r="S40" s="79"/>
      <c r="T40" s="79"/>
      <c r="U40" s="79"/>
      <c r="V40" s="79"/>
      <c r="W40" s="79"/>
      <c r="X40" s="79"/>
      <c r="Y40" s="79"/>
      <c r="Z40" s="79"/>
    </row>
    <row r="41" spans="1:26" ht="21.5" thickBot="1">
      <c r="A41" s="485" t="s">
        <v>2222</v>
      </c>
      <c r="B41" s="486"/>
      <c r="C41" s="79"/>
      <c r="D41" s="79"/>
      <c r="E41" s="79"/>
      <c r="F41" s="79"/>
      <c r="G41" s="79"/>
      <c r="H41" s="79"/>
      <c r="I41" s="79"/>
      <c r="J41" s="79"/>
      <c r="K41" s="79"/>
      <c r="L41" s="79"/>
      <c r="M41" s="79"/>
      <c r="N41" s="79"/>
      <c r="O41" s="79"/>
      <c r="P41" s="79"/>
      <c r="Q41" s="79"/>
      <c r="R41" s="79"/>
      <c r="S41" s="79"/>
      <c r="T41" s="79"/>
      <c r="U41" s="79"/>
      <c r="V41" s="79"/>
      <c r="W41" s="79"/>
      <c r="X41" s="79"/>
      <c r="Y41" s="79"/>
      <c r="Z41" s="79"/>
    </row>
    <row r="42" spans="1:26" ht="21" customHeight="1" thickBot="1">
      <c r="A42" s="291"/>
      <c r="B42" s="291"/>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ht="21.5" thickBot="1">
      <c r="A43" s="112" t="s">
        <v>2223</v>
      </c>
      <c r="B43" s="113" t="s">
        <v>2224</v>
      </c>
      <c r="C43" s="79"/>
      <c r="D43" s="79"/>
      <c r="E43" s="79"/>
      <c r="F43" s="79"/>
      <c r="G43" s="79"/>
      <c r="H43" s="79"/>
      <c r="I43" s="79"/>
      <c r="J43" s="79"/>
      <c r="K43" s="79"/>
      <c r="L43" s="79"/>
      <c r="M43" s="79"/>
      <c r="N43" s="79"/>
      <c r="O43" s="79"/>
      <c r="P43" s="79"/>
      <c r="Q43" s="79"/>
      <c r="R43" s="79"/>
      <c r="S43" s="79"/>
      <c r="T43" s="79"/>
      <c r="U43" s="79"/>
      <c r="V43" s="79"/>
      <c r="W43" s="79"/>
      <c r="X43" s="79"/>
      <c r="Y43" s="79"/>
      <c r="Z43" s="79"/>
    </row>
    <row r="44" spans="1:26" ht="21" customHeight="1" thickBot="1">
      <c r="A44" s="291"/>
      <c r="B44" s="291"/>
      <c r="C44" s="79"/>
      <c r="D44" s="79"/>
      <c r="E44" s="79"/>
      <c r="F44" s="79"/>
      <c r="G44" s="79"/>
      <c r="H44" s="79"/>
      <c r="I44" s="79"/>
      <c r="J44" s="79"/>
      <c r="K44" s="79"/>
      <c r="L44" s="79"/>
      <c r="M44" s="79"/>
      <c r="N44" s="79"/>
      <c r="O44" s="79"/>
      <c r="P44" s="79"/>
      <c r="Q44" s="79"/>
      <c r="R44" s="79"/>
      <c r="S44" s="79"/>
      <c r="T44" s="79"/>
      <c r="U44" s="79"/>
      <c r="V44" s="79"/>
      <c r="W44" s="79"/>
      <c r="X44" s="79"/>
      <c r="Y44" s="79"/>
      <c r="Z44" s="79"/>
    </row>
    <row r="45" spans="1:26" ht="21.5" thickBot="1">
      <c r="A45" s="112" t="s">
        <v>2225</v>
      </c>
      <c r="B45" s="293" t="s">
        <v>2226</v>
      </c>
      <c r="C45" s="79"/>
      <c r="D45" s="79"/>
      <c r="E45" s="79"/>
      <c r="F45" s="79"/>
      <c r="G45" s="79"/>
      <c r="H45" s="79"/>
      <c r="I45" s="79"/>
      <c r="J45" s="79"/>
      <c r="K45" s="79"/>
      <c r="L45" s="79"/>
      <c r="M45" s="79"/>
      <c r="N45" s="79"/>
      <c r="O45" s="79"/>
      <c r="P45" s="79"/>
      <c r="Q45" s="79"/>
      <c r="R45" s="79"/>
      <c r="S45" s="79"/>
      <c r="T45" s="79"/>
      <c r="U45" s="79"/>
      <c r="V45" s="79"/>
      <c r="W45" s="79"/>
      <c r="X45" s="79"/>
      <c r="Y45" s="79"/>
      <c r="Z45" s="79"/>
    </row>
    <row r="46" spans="1:26" ht="21" customHeight="1" thickBot="1">
      <c r="A46" s="291"/>
      <c r="B46" s="291"/>
      <c r="C46" s="79"/>
      <c r="D46" s="79"/>
      <c r="E46" s="79"/>
      <c r="F46" s="79"/>
      <c r="G46" s="79"/>
      <c r="H46" s="79"/>
      <c r="I46" s="79"/>
      <c r="J46" s="79"/>
      <c r="K46" s="79"/>
      <c r="L46" s="79"/>
      <c r="M46" s="79"/>
      <c r="N46" s="79"/>
      <c r="O46" s="79"/>
      <c r="P46" s="79"/>
      <c r="Q46" s="79"/>
      <c r="R46" s="79"/>
      <c r="S46" s="79"/>
      <c r="T46" s="79"/>
      <c r="U46" s="79"/>
      <c r="V46" s="79"/>
      <c r="W46" s="79"/>
      <c r="X46" s="79"/>
      <c r="Y46" s="79"/>
      <c r="Z46" s="79"/>
    </row>
    <row r="47" spans="1:26" ht="42.5" thickBot="1">
      <c r="A47" s="292" t="s">
        <v>2227</v>
      </c>
      <c r="B47" s="293" t="s">
        <v>2226</v>
      </c>
      <c r="C47" s="79"/>
      <c r="D47" s="79"/>
      <c r="E47" s="79"/>
      <c r="F47" s="79"/>
      <c r="G47" s="79"/>
      <c r="H47" s="79"/>
      <c r="I47" s="79"/>
      <c r="J47" s="79"/>
      <c r="K47" s="79"/>
      <c r="L47" s="79"/>
      <c r="M47" s="79"/>
      <c r="N47" s="79"/>
      <c r="O47" s="79"/>
      <c r="P47" s="79"/>
      <c r="Q47" s="79"/>
      <c r="R47" s="79"/>
      <c r="S47" s="79"/>
      <c r="T47" s="79"/>
      <c r="U47" s="79"/>
      <c r="V47" s="79"/>
      <c r="W47" s="79"/>
      <c r="X47" s="79"/>
      <c r="Y47" s="79"/>
      <c r="Z47" s="79"/>
    </row>
    <row r="48" spans="1:26" ht="21" customHeight="1" thickBot="1">
      <c r="A48" s="291"/>
      <c r="B48" s="291"/>
      <c r="C48" s="79"/>
      <c r="D48" s="79"/>
      <c r="E48" s="79"/>
      <c r="F48" s="79"/>
      <c r="G48" s="79"/>
      <c r="H48" s="79"/>
      <c r="I48" s="79"/>
      <c r="J48" s="79"/>
      <c r="K48" s="79"/>
      <c r="L48" s="79"/>
      <c r="M48" s="79"/>
      <c r="N48" s="79"/>
      <c r="O48" s="79"/>
      <c r="P48" s="79"/>
      <c r="Q48" s="79"/>
      <c r="R48" s="79"/>
      <c r="S48" s="79"/>
      <c r="T48" s="79"/>
      <c r="U48" s="79"/>
      <c r="V48" s="79"/>
      <c r="W48" s="79"/>
      <c r="X48" s="79"/>
      <c r="Y48" s="79"/>
      <c r="Z48" s="79"/>
    </row>
    <row r="49" spans="1:26" ht="21.5" thickBot="1">
      <c r="A49" s="292" t="s">
        <v>2228</v>
      </c>
      <c r="B49" s="293" t="s">
        <v>2226</v>
      </c>
      <c r="C49" s="79"/>
      <c r="D49" s="79"/>
      <c r="E49" s="79"/>
      <c r="F49" s="79"/>
      <c r="G49" s="79"/>
      <c r="H49" s="79"/>
      <c r="I49" s="79"/>
      <c r="J49" s="79"/>
      <c r="K49" s="79"/>
      <c r="L49" s="79"/>
      <c r="M49" s="79"/>
      <c r="N49" s="79"/>
      <c r="O49" s="79"/>
      <c r="P49" s="79"/>
      <c r="Q49" s="79"/>
      <c r="R49" s="79"/>
      <c r="S49" s="79"/>
      <c r="T49" s="79"/>
      <c r="U49" s="79"/>
      <c r="V49" s="79"/>
      <c r="W49" s="79"/>
      <c r="X49" s="79"/>
      <c r="Y49" s="79"/>
      <c r="Z49" s="79"/>
    </row>
    <row r="50" spans="1:26" ht="21" customHeight="1" thickBot="1">
      <c r="A50" s="291"/>
      <c r="B50" s="291"/>
      <c r="C50" s="79"/>
      <c r="D50" s="79"/>
      <c r="E50" s="79"/>
      <c r="F50" s="79"/>
      <c r="G50" s="79"/>
      <c r="H50" s="79"/>
      <c r="I50" s="79"/>
      <c r="J50" s="79"/>
      <c r="K50" s="79"/>
      <c r="L50" s="79"/>
      <c r="M50" s="79"/>
      <c r="N50" s="79"/>
      <c r="O50" s="79"/>
      <c r="P50" s="79"/>
      <c r="Q50" s="79"/>
      <c r="R50" s="79"/>
      <c r="S50" s="79"/>
      <c r="T50" s="79"/>
      <c r="U50" s="79"/>
      <c r="V50" s="79"/>
      <c r="W50" s="79"/>
      <c r="X50" s="79"/>
      <c r="Y50" s="79"/>
      <c r="Z50" s="79"/>
    </row>
    <row r="51" spans="1:26" ht="105.5" thickBot="1">
      <c r="A51" s="292" t="s">
        <v>2229</v>
      </c>
      <c r="B51" s="293" t="s">
        <v>2230</v>
      </c>
      <c r="C51" s="79"/>
      <c r="D51" s="79"/>
      <c r="E51" s="79"/>
      <c r="F51" s="79"/>
      <c r="G51" s="79"/>
      <c r="H51" s="79"/>
      <c r="I51" s="79"/>
      <c r="J51" s="79"/>
      <c r="K51" s="79"/>
      <c r="L51" s="79"/>
      <c r="M51" s="79"/>
      <c r="N51" s="79"/>
      <c r="O51" s="79"/>
      <c r="P51" s="79"/>
      <c r="Q51" s="79"/>
      <c r="R51" s="79"/>
      <c r="S51" s="79"/>
      <c r="T51" s="79"/>
      <c r="U51" s="79"/>
      <c r="V51" s="79"/>
      <c r="W51" s="79"/>
      <c r="X51" s="79"/>
      <c r="Y51" s="79"/>
      <c r="Z51" s="79"/>
    </row>
    <row r="52" spans="1:26" ht="21" customHeight="1" thickBot="1">
      <c r="A52" s="291"/>
      <c r="B52" s="291"/>
      <c r="C52" s="79"/>
      <c r="D52" s="79"/>
      <c r="E52" s="79"/>
      <c r="F52" s="79"/>
      <c r="G52" s="79"/>
      <c r="H52" s="79"/>
      <c r="I52" s="79"/>
      <c r="J52" s="79"/>
      <c r="K52" s="79"/>
      <c r="L52" s="79"/>
      <c r="M52" s="79"/>
      <c r="N52" s="79"/>
      <c r="O52" s="79"/>
      <c r="P52" s="79"/>
      <c r="Q52" s="79"/>
      <c r="R52" s="79"/>
      <c r="S52" s="79"/>
      <c r="T52" s="79"/>
      <c r="U52" s="79"/>
      <c r="V52" s="79"/>
      <c r="W52" s="79"/>
      <c r="X52" s="79"/>
      <c r="Y52" s="79"/>
      <c r="Z52" s="79"/>
    </row>
    <row r="53" spans="1:26" ht="42.5" thickBot="1">
      <c r="A53" s="292" t="s">
        <v>2231</v>
      </c>
      <c r="B53" s="293" t="s">
        <v>2230</v>
      </c>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1" customHeight="1" thickBot="1">
      <c r="A54" s="291"/>
      <c r="B54" s="291"/>
      <c r="C54" s="79"/>
      <c r="D54" s="79"/>
      <c r="E54" s="79"/>
      <c r="F54" s="79"/>
      <c r="G54" s="79"/>
      <c r="H54" s="79"/>
      <c r="I54" s="79"/>
      <c r="J54" s="79"/>
      <c r="K54" s="79"/>
      <c r="L54" s="79"/>
      <c r="M54" s="79"/>
      <c r="N54" s="79"/>
      <c r="O54" s="79"/>
      <c r="P54" s="79"/>
      <c r="Q54" s="79"/>
      <c r="R54" s="79"/>
      <c r="S54" s="79"/>
      <c r="T54" s="79"/>
      <c r="U54" s="79"/>
      <c r="V54" s="79"/>
      <c r="W54" s="79"/>
      <c r="X54" s="79"/>
      <c r="Y54" s="79"/>
      <c r="Z54" s="79"/>
    </row>
    <row r="55" spans="1:26" ht="42.5" thickBot="1">
      <c r="A55" s="292" t="s">
        <v>2232</v>
      </c>
      <c r="B55" s="293" t="s">
        <v>2226</v>
      </c>
      <c r="C55" s="79"/>
      <c r="D55" s="79"/>
      <c r="E55" s="79"/>
      <c r="F55" s="79"/>
      <c r="G55" s="79"/>
      <c r="H55" s="79"/>
      <c r="I55" s="79"/>
      <c r="J55" s="79"/>
      <c r="K55" s="79"/>
      <c r="L55" s="79"/>
      <c r="M55" s="79"/>
      <c r="N55" s="79"/>
      <c r="O55" s="79"/>
      <c r="P55" s="79"/>
      <c r="Q55" s="79"/>
      <c r="R55" s="79"/>
      <c r="S55" s="79"/>
      <c r="T55" s="79"/>
      <c r="U55" s="79"/>
      <c r="V55" s="79"/>
      <c r="W55" s="79"/>
      <c r="X55" s="79"/>
      <c r="Y55" s="79"/>
      <c r="Z55" s="79"/>
    </row>
    <row r="56" spans="1:26" ht="21" customHeight="1" thickBot="1">
      <c r="A56" s="291"/>
      <c r="B56" s="291"/>
      <c r="C56" s="79"/>
      <c r="D56" s="79"/>
      <c r="E56" s="79"/>
      <c r="F56" s="79"/>
      <c r="G56" s="79"/>
      <c r="H56" s="79"/>
      <c r="I56" s="79"/>
      <c r="J56" s="79"/>
      <c r="K56" s="79"/>
      <c r="L56" s="79"/>
      <c r="M56" s="79"/>
      <c r="N56" s="79"/>
      <c r="O56" s="79"/>
      <c r="P56" s="79"/>
      <c r="Q56" s="79"/>
      <c r="R56" s="79"/>
      <c r="S56" s="79"/>
      <c r="T56" s="79"/>
      <c r="U56" s="79"/>
      <c r="V56" s="79"/>
      <c r="W56" s="79"/>
      <c r="X56" s="79"/>
      <c r="Y56" s="79"/>
      <c r="Z56" s="79"/>
    </row>
    <row r="57" spans="1:26" ht="63.5" thickBot="1">
      <c r="A57" s="292" t="s">
        <v>2233</v>
      </c>
      <c r="B57" s="293" t="s">
        <v>2230</v>
      </c>
      <c r="C57" s="79"/>
      <c r="D57" s="79"/>
      <c r="E57" s="79"/>
      <c r="F57" s="79"/>
      <c r="G57" s="79"/>
      <c r="H57" s="79"/>
      <c r="I57" s="79"/>
      <c r="J57" s="79"/>
      <c r="K57" s="79"/>
      <c r="L57" s="79"/>
      <c r="M57" s="79"/>
      <c r="N57" s="79"/>
      <c r="O57" s="79"/>
      <c r="P57" s="79"/>
      <c r="Q57" s="79"/>
      <c r="R57" s="79"/>
      <c r="S57" s="79"/>
      <c r="T57" s="79"/>
      <c r="U57" s="79"/>
      <c r="V57" s="79"/>
      <c r="W57" s="79"/>
      <c r="X57" s="79"/>
      <c r="Y57" s="79"/>
      <c r="Z57" s="79"/>
    </row>
    <row r="58" spans="1:26" ht="21" customHeight="1" thickBot="1">
      <c r="A58" s="291"/>
      <c r="B58" s="291"/>
      <c r="C58" s="79"/>
      <c r="D58" s="79"/>
      <c r="E58" s="79"/>
      <c r="F58" s="79"/>
      <c r="G58" s="79"/>
      <c r="H58" s="79"/>
      <c r="I58" s="79"/>
      <c r="J58" s="79"/>
      <c r="K58" s="79"/>
      <c r="L58" s="79"/>
      <c r="M58" s="79"/>
      <c r="N58" s="79"/>
      <c r="O58" s="79"/>
      <c r="P58" s="79"/>
      <c r="Q58" s="79"/>
      <c r="R58" s="79"/>
      <c r="S58" s="79"/>
      <c r="T58" s="79"/>
      <c r="U58" s="79"/>
      <c r="V58" s="79"/>
      <c r="W58" s="79"/>
      <c r="X58" s="79"/>
      <c r="Y58" s="79"/>
      <c r="Z58" s="79"/>
    </row>
    <row r="59" spans="1:26" ht="42.5" thickBot="1">
      <c r="A59" s="292" t="s">
        <v>2234</v>
      </c>
      <c r="B59" s="293" t="s">
        <v>2230</v>
      </c>
      <c r="C59" s="79"/>
      <c r="D59" s="79"/>
      <c r="E59" s="79"/>
      <c r="F59" s="79"/>
      <c r="G59" s="79"/>
      <c r="H59" s="79"/>
      <c r="I59" s="79"/>
      <c r="J59" s="79"/>
      <c r="K59" s="79"/>
      <c r="L59" s="79"/>
      <c r="M59" s="79"/>
      <c r="N59" s="79"/>
      <c r="O59" s="79"/>
      <c r="P59" s="79"/>
      <c r="Q59" s="79"/>
      <c r="R59" s="79"/>
      <c r="S59" s="79"/>
      <c r="T59" s="79"/>
      <c r="U59" s="79"/>
      <c r="V59" s="79"/>
      <c r="W59" s="79"/>
      <c r="X59" s="79"/>
      <c r="Y59" s="79"/>
      <c r="Z59" s="79"/>
    </row>
    <row r="60" spans="1:26" ht="21" customHeight="1" thickBot="1">
      <c r="A60" s="291"/>
      <c r="B60" s="291"/>
      <c r="C60" s="79"/>
      <c r="D60" s="79"/>
      <c r="E60" s="79"/>
      <c r="F60" s="79"/>
      <c r="G60" s="79"/>
      <c r="H60" s="79"/>
      <c r="I60" s="79"/>
      <c r="J60" s="79"/>
      <c r="K60" s="79"/>
      <c r="L60" s="79"/>
      <c r="M60" s="79"/>
      <c r="N60" s="79"/>
      <c r="O60" s="79"/>
      <c r="P60" s="79"/>
      <c r="Q60" s="79"/>
      <c r="R60" s="79"/>
      <c r="S60" s="79"/>
      <c r="T60" s="79"/>
      <c r="U60" s="79"/>
      <c r="V60" s="79"/>
      <c r="W60" s="79"/>
      <c r="X60" s="79"/>
      <c r="Y60" s="79"/>
      <c r="Z60" s="79"/>
    </row>
    <row r="61" spans="1:26" ht="63.5" thickBot="1">
      <c r="A61" s="292" t="s">
        <v>2235</v>
      </c>
      <c r="B61" s="293" t="s">
        <v>2226</v>
      </c>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1" customHeight="1" thickBot="1">
      <c r="A62" s="291"/>
      <c r="B62" s="291"/>
      <c r="C62" s="79"/>
      <c r="D62" s="79"/>
      <c r="E62" s="79"/>
      <c r="F62" s="79"/>
      <c r="G62" s="79"/>
      <c r="H62" s="79"/>
      <c r="I62" s="79"/>
      <c r="J62" s="79"/>
      <c r="K62" s="79"/>
      <c r="L62" s="79"/>
      <c r="M62" s="79"/>
      <c r="N62" s="79"/>
      <c r="O62" s="79"/>
      <c r="P62" s="79"/>
      <c r="Q62" s="79"/>
      <c r="R62" s="79"/>
      <c r="S62" s="79"/>
      <c r="T62" s="79"/>
      <c r="U62" s="79"/>
      <c r="V62" s="79"/>
      <c r="W62" s="79"/>
      <c r="X62" s="79"/>
      <c r="Y62" s="79"/>
      <c r="Z62" s="79"/>
    </row>
    <row r="63" spans="1:26" ht="42.5" thickBot="1">
      <c r="A63" s="292" t="s">
        <v>2236</v>
      </c>
      <c r="B63" s="293" t="s">
        <v>2226</v>
      </c>
      <c r="C63" s="79"/>
      <c r="D63" s="79"/>
      <c r="E63" s="79"/>
      <c r="F63" s="79"/>
      <c r="G63" s="79"/>
      <c r="H63" s="79"/>
      <c r="I63" s="79"/>
      <c r="J63" s="79"/>
      <c r="K63" s="79"/>
      <c r="L63" s="79"/>
      <c r="M63" s="79"/>
      <c r="N63" s="79"/>
      <c r="O63" s="79"/>
      <c r="P63" s="79"/>
      <c r="Q63" s="79"/>
      <c r="R63" s="79"/>
      <c r="S63" s="79"/>
      <c r="T63" s="79"/>
      <c r="U63" s="79"/>
      <c r="V63" s="79"/>
      <c r="W63" s="79"/>
      <c r="X63" s="79"/>
      <c r="Y63" s="79"/>
      <c r="Z63" s="79"/>
    </row>
    <row r="64" spans="1:26" ht="21" customHeight="1" thickBot="1">
      <c r="A64" s="291"/>
      <c r="B64" s="291"/>
      <c r="C64" s="79"/>
      <c r="D64" s="79"/>
      <c r="E64" s="79"/>
      <c r="F64" s="79"/>
      <c r="G64" s="79"/>
      <c r="H64" s="79"/>
      <c r="I64" s="79"/>
      <c r="J64" s="79"/>
      <c r="K64" s="79"/>
      <c r="L64" s="79"/>
      <c r="M64" s="79"/>
      <c r="N64" s="79"/>
      <c r="O64" s="79"/>
      <c r="P64" s="79"/>
      <c r="Q64" s="79"/>
      <c r="R64" s="79"/>
      <c r="S64" s="79"/>
      <c r="T64" s="79"/>
      <c r="U64" s="79"/>
      <c r="V64" s="79"/>
      <c r="W64" s="79"/>
      <c r="X64" s="79"/>
      <c r="Y64" s="79"/>
      <c r="Z64" s="79"/>
    </row>
    <row r="65" spans="1:26" ht="42.5" thickBot="1">
      <c r="A65" s="292" t="s">
        <v>2237</v>
      </c>
      <c r="B65" s="293" t="s">
        <v>2226</v>
      </c>
      <c r="C65" s="79"/>
      <c r="D65" s="79"/>
      <c r="E65" s="79"/>
      <c r="F65" s="79"/>
      <c r="G65" s="79"/>
      <c r="H65" s="79"/>
      <c r="I65" s="79"/>
      <c r="J65" s="79"/>
      <c r="K65" s="79"/>
      <c r="L65" s="79"/>
      <c r="M65" s="79"/>
      <c r="N65" s="79"/>
      <c r="O65" s="79"/>
      <c r="P65" s="79"/>
      <c r="Q65" s="79"/>
      <c r="R65" s="79"/>
      <c r="S65" s="79"/>
      <c r="T65" s="79"/>
      <c r="U65" s="79"/>
      <c r="V65" s="79"/>
      <c r="W65" s="79"/>
      <c r="X65" s="79"/>
      <c r="Y65" s="79"/>
      <c r="Z65" s="79"/>
    </row>
    <row r="66" spans="1:26" ht="21" customHeight="1" thickBot="1">
      <c r="A66" s="291"/>
      <c r="B66" s="291"/>
      <c r="C66" s="79"/>
      <c r="D66" s="79"/>
      <c r="E66" s="79"/>
      <c r="F66" s="79"/>
      <c r="G66" s="79"/>
      <c r="H66" s="79"/>
      <c r="I66" s="79"/>
      <c r="J66" s="79"/>
      <c r="K66" s="79"/>
      <c r="L66" s="79"/>
      <c r="M66" s="79"/>
      <c r="N66" s="79"/>
      <c r="O66" s="79"/>
      <c r="P66" s="79"/>
      <c r="Q66" s="79"/>
      <c r="R66" s="79"/>
      <c r="S66" s="79"/>
      <c r="T66" s="79"/>
      <c r="U66" s="79"/>
      <c r="V66" s="79"/>
      <c r="W66" s="79"/>
      <c r="X66" s="79"/>
      <c r="Y66" s="79"/>
      <c r="Z66" s="79"/>
    </row>
    <row r="67" spans="1:26" ht="63.5" thickBot="1">
      <c r="A67" s="292" t="s">
        <v>2238</v>
      </c>
      <c r="B67" s="293" t="s">
        <v>2226</v>
      </c>
      <c r="C67" s="79"/>
      <c r="D67" s="79"/>
      <c r="E67" s="79"/>
      <c r="F67" s="79"/>
      <c r="G67" s="79"/>
      <c r="H67" s="79"/>
      <c r="I67" s="79"/>
      <c r="J67" s="79"/>
      <c r="K67" s="79"/>
      <c r="L67" s="79"/>
      <c r="M67" s="79"/>
      <c r="N67" s="79"/>
      <c r="O67" s="79"/>
      <c r="P67" s="79"/>
      <c r="Q67" s="79"/>
      <c r="R67" s="79"/>
      <c r="S67" s="79"/>
      <c r="T67" s="79"/>
      <c r="U67" s="79"/>
      <c r="V67" s="79"/>
      <c r="W67" s="79"/>
      <c r="X67" s="79"/>
      <c r="Y67" s="79"/>
      <c r="Z67" s="79"/>
    </row>
    <row r="68" spans="1:26" ht="21" customHeight="1" thickBot="1">
      <c r="A68" s="291"/>
      <c r="B68" s="291"/>
      <c r="C68" s="79"/>
      <c r="D68" s="79"/>
      <c r="E68" s="79"/>
      <c r="F68" s="79"/>
      <c r="G68" s="79"/>
      <c r="H68" s="79"/>
      <c r="I68" s="79"/>
      <c r="J68" s="79"/>
      <c r="K68" s="79"/>
      <c r="L68" s="79"/>
      <c r="M68" s="79"/>
      <c r="N68" s="79"/>
      <c r="O68" s="79"/>
      <c r="P68" s="79"/>
      <c r="Q68" s="79"/>
      <c r="R68" s="79"/>
      <c r="S68" s="79"/>
      <c r="T68" s="79"/>
      <c r="U68" s="79"/>
      <c r="V68" s="79"/>
      <c r="W68" s="79"/>
      <c r="X68" s="79"/>
      <c r="Y68" s="79"/>
      <c r="Z68" s="79"/>
    </row>
    <row r="69" spans="1:26" ht="21.5" thickBot="1">
      <c r="A69" s="443" t="s">
        <v>2239</v>
      </c>
      <c r="B69" s="444"/>
      <c r="C69" s="79"/>
      <c r="D69" s="79"/>
      <c r="E69" s="79"/>
      <c r="F69" s="79"/>
      <c r="G69" s="79"/>
      <c r="H69" s="79"/>
      <c r="I69" s="79"/>
      <c r="J69" s="79"/>
      <c r="K69" s="79"/>
      <c r="L69" s="79"/>
      <c r="M69" s="79"/>
      <c r="N69" s="79"/>
      <c r="O69" s="79"/>
      <c r="P69" s="79"/>
      <c r="Q69" s="79"/>
      <c r="R69" s="79"/>
      <c r="S69" s="79"/>
      <c r="T69" s="79"/>
      <c r="U69" s="79"/>
      <c r="V69" s="79"/>
      <c r="W69" s="79"/>
      <c r="X69" s="79"/>
      <c r="Y69" s="79"/>
      <c r="Z69" s="79"/>
    </row>
    <row r="70" spans="1:26" ht="21" customHeight="1" thickBot="1">
      <c r="A70" s="291"/>
      <c r="B70" s="291"/>
      <c r="C70" s="79"/>
      <c r="D70" s="79"/>
      <c r="E70" s="79"/>
      <c r="F70" s="79"/>
      <c r="G70" s="79"/>
      <c r="H70" s="79"/>
      <c r="I70" s="79"/>
      <c r="J70" s="79"/>
      <c r="K70" s="79"/>
      <c r="L70" s="79"/>
      <c r="M70" s="79"/>
      <c r="N70" s="79"/>
      <c r="O70" s="79"/>
      <c r="P70" s="79"/>
      <c r="Q70" s="79"/>
      <c r="R70" s="79"/>
      <c r="S70" s="79"/>
      <c r="T70" s="79"/>
      <c r="U70" s="79"/>
      <c r="V70" s="79"/>
      <c r="W70" s="79"/>
      <c r="X70" s="79"/>
      <c r="Y70" s="79"/>
      <c r="Z70" s="79"/>
    </row>
    <row r="71" spans="1:26" ht="21.5" thickBot="1">
      <c r="A71" s="333" t="s">
        <v>2240</v>
      </c>
      <c r="B71" s="293" t="s">
        <v>2241</v>
      </c>
      <c r="C71" s="79"/>
      <c r="D71" s="79"/>
      <c r="E71" s="79"/>
      <c r="F71" s="79"/>
      <c r="G71" s="79"/>
      <c r="H71" s="79"/>
      <c r="I71" s="79"/>
      <c r="J71" s="79"/>
      <c r="K71" s="79"/>
      <c r="L71" s="79"/>
      <c r="M71" s="79"/>
      <c r="N71" s="79"/>
      <c r="O71" s="79"/>
      <c r="P71" s="79"/>
      <c r="Q71" s="79"/>
      <c r="R71" s="79"/>
      <c r="S71" s="79"/>
      <c r="T71" s="79"/>
      <c r="U71" s="79"/>
      <c r="V71" s="79"/>
      <c r="W71" s="79"/>
      <c r="X71" s="79"/>
      <c r="Y71" s="79"/>
      <c r="Z71" s="79"/>
    </row>
    <row r="72" spans="1:26" ht="21" customHeight="1" thickBot="1">
      <c r="A72" s="291"/>
      <c r="B72" s="291"/>
      <c r="C72" s="79"/>
      <c r="D72" s="79"/>
      <c r="E72" s="79"/>
      <c r="F72" s="79"/>
      <c r="G72" s="79"/>
      <c r="H72" s="79"/>
      <c r="I72" s="79"/>
      <c r="J72" s="79"/>
      <c r="K72" s="79"/>
      <c r="L72" s="79"/>
      <c r="M72" s="79"/>
      <c r="N72" s="79"/>
      <c r="O72" s="79"/>
      <c r="P72" s="79"/>
      <c r="Q72" s="79"/>
      <c r="R72" s="79"/>
      <c r="S72" s="79"/>
      <c r="T72" s="79"/>
      <c r="U72" s="79"/>
      <c r="V72" s="79"/>
      <c r="W72" s="79"/>
      <c r="X72" s="79"/>
      <c r="Y72" s="79"/>
      <c r="Z72" s="79"/>
    </row>
    <row r="73" spans="1:26" ht="21.5" thickBot="1">
      <c r="A73" s="492" t="s">
        <v>2242</v>
      </c>
      <c r="B73" s="493"/>
      <c r="C73" s="79"/>
      <c r="D73" s="79"/>
      <c r="E73" s="79"/>
      <c r="F73" s="79"/>
      <c r="G73" s="79"/>
      <c r="H73" s="79"/>
      <c r="I73" s="79"/>
      <c r="J73" s="79"/>
      <c r="K73" s="79"/>
      <c r="L73" s="79"/>
      <c r="M73" s="79"/>
      <c r="N73" s="79"/>
      <c r="O73" s="79"/>
      <c r="P73" s="79"/>
      <c r="Q73" s="79"/>
      <c r="R73" s="79"/>
      <c r="S73" s="79"/>
      <c r="T73" s="79"/>
      <c r="U73" s="79"/>
      <c r="V73" s="79"/>
      <c r="W73" s="79"/>
      <c r="X73" s="79"/>
      <c r="Y73" s="79"/>
      <c r="Z73" s="79"/>
    </row>
    <row r="74" spans="1:26" ht="21" customHeight="1" thickBot="1">
      <c r="A74" s="291"/>
      <c r="B74" s="291"/>
      <c r="C74" s="79"/>
      <c r="D74" s="79"/>
      <c r="E74" s="79"/>
      <c r="F74" s="79"/>
      <c r="G74" s="79"/>
      <c r="H74" s="79"/>
      <c r="I74" s="79"/>
      <c r="J74" s="79"/>
      <c r="K74" s="79"/>
      <c r="L74" s="79"/>
      <c r="M74" s="79"/>
      <c r="N74" s="79"/>
      <c r="O74" s="79"/>
      <c r="P74" s="79"/>
      <c r="Q74" s="79"/>
      <c r="R74" s="79"/>
      <c r="S74" s="79"/>
      <c r="T74" s="79"/>
      <c r="U74" s="79"/>
      <c r="V74" s="79"/>
      <c r="W74" s="79"/>
      <c r="X74" s="79"/>
      <c r="Y74" s="79"/>
      <c r="Z74" s="79"/>
    </row>
    <row r="75" spans="1:26" ht="21" customHeight="1" thickBot="1">
      <c r="A75" s="333" t="s">
        <v>2243</v>
      </c>
      <c r="B75" s="295">
        <v>40500</v>
      </c>
      <c r="C75" s="79"/>
      <c r="D75" s="79"/>
      <c r="E75" s="79"/>
      <c r="F75" s="79"/>
      <c r="G75" s="79"/>
      <c r="H75" s="79"/>
      <c r="I75" s="79"/>
      <c r="J75" s="79"/>
      <c r="K75" s="79"/>
      <c r="L75" s="79"/>
      <c r="M75" s="79"/>
      <c r="N75" s="79"/>
      <c r="O75" s="79"/>
      <c r="P75" s="79"/>
      <c r="Q75" s="79"/>
      <c r="R75" s="79"/>
      <c r="S75" s="79"/>
      <c r="T75" s="79"/>
      <c r="U75" s="79"/>
      <c r="V75" s="79"/>
      <c r="W75" s="79"/>
      <c r="X75" s="79"/>
      <c r="Y75" s="79"/>
      <c r="Z75" s="79"/>
    </row>
    <row r="76" spans="1:26" ht="21.5" thickBot="1">
      <c r="A76" s="334" t="s">
        <v>2244</v>
      </c>
      <c r="B76" s="295">
        <f>IF(B39=0,0,B75/B39)</f>
        <v>135</v>
      </c>
      <c r="C76" s="79"/>
      <c r="D76" s="79"/>
      <c r="E76" s="79"/>
      <c r="F76" s="79"/>
      <c r="G76" s="79"/>
      <c r="H76" s="79"/>
      <c r="I76" s="79"/>
      <c r="J76" s="79"/>
      <c r="K76" s="79"/>
      <c r="L76" s="79"/>
      <c r="M76" s="79"/>
      <c r="N76" s="79"/>
      <c r="O76" s="79"/>
      <c r="P76" s="79"/>
      <c r="Q76" s="79"/>
      <c r="R76" s="79"/>
      <c r="S76" s="79"/>
      <c r="T76" s="79"/>
      <c r="U76" s="79"/>
      <c r="V76" s="79"/>
      <c r="W76" s="79"/>
      <c r="X76" s="79"/>
      <c r="Y76" s="79"/>
      <c r="Z76" s="79"/>
    </row>
    <row r="77" spans="1:26" ht="21" customHeight="1" thickBot="1">
      <c r="A77" s="291"/>
      <c r="B77" s="291"/>
      <c r="C77" s="79"/>
      <c r="D77" s="79"/>
      <c r="E77" s="79"/>
      <c r="F77" s="79"/>
      <c r="G77" s="79"/>
      <c r="H77" s="79"/>
      <c r="I77" s="79"/>
      <c r="J77" s="79"/>
      <c r="K77" s="79"/>
      <c r="L77" s="79"/>
      <c r="M77" s="79"/>
      <c r="N77" s="79"/>
      <c r="O77" s="79"/>
      <c r="P77" s="79"/>
      <c r="Q77" s="79"/>
      <c r="R77" s="79"/>
      <c r="S77" s="79"/>
      <c r="T77" s="79"/>
      <c r="U77" s="79"/>
      <c r="V77" s="79"/>
      <c r="W77" s="79"/>
      <c r="X77" s="79"/>
      <c r="Y77" s="79"/>
      <c r="Z77" s="79"/>
    </row>
    <row r="78" spans="1:26" ht="21.5" thickBot="1">
      <c r="A78" s="300" t="s">
        <v>2245</v>
      </c>
      <c r="B78" s="295">
        <v>890.43</v>
      </c>
      <c r="C78" s="79"/>
      <c r="D78" s="79"/>
      <c r="E78" s="79"/>
      <c r="F78" s="79"/>
      <c r="G78" s="79"/>
      <c r="H78" s="79"/>
      <c r="I78" s="79"/>
      <c r="J78" s="79"/>
      <c r="K78" s="79"/>
      <c r="L78" s="79"/>
      <c r="M78" s="79"/>
      <c r="N78" s="79"/>
      <c r="O78" s="79"/>
      <c r="P78" s="79"/>
      <c r="Q78" s="79"/>
      <c r="R78" s="79"/>
      <c r="S78" s="79"/>
      <c r="T78" s="79"/>
      <c r="U78" s="79"/>
      <c r="V78" s="79"/>
      <c r="W78" s="79"/>
      <c r="X78" s="79"/>
      <c r="Y78" s="79"/>
      <c r="Z78" s="79"/>
    </row>
    <row r="79" spans="1:26" ht="21" customHeight="1" thickBot="1">
      <c r="A79" s="291"/>
      <c r="B79" s="291"/>
      <c r="C79" s="79"/>
      <c r="D79" s="79"/>
      <c r="E79" s="79"/>
      <c r="F79" s="79"/>
      <c r="G79" s="79"/>
      <c r="H79" s="79"/>
      <c r="I79" s="79"/>
      <c r="J79" s="79"/>
      <c r="K79" s="79"/>
      <c r="L79" s="79"/>
      <c r="M79" s="79"/>
      <c r="N79" s="79"/>
      <c r="O79" s="79"/>
      <c r="P79" s="79"/>
      <c r="Q79" s="79"/>
      <c r="R79" s="79"/>
      <c r="S79" s="79"/>
      <c r="T79" s="79"/>
      <c r="U79" s="79"/>
      <c r="V79" s="79"/>
      <c r="W79" s="79"/>
      <c r="X79" s="79"/>
      <c r="Y79" s="79"/>
      <c r="Z79" s="79"/>
    </row>
    <row r="80" spans="1:26" ht="21.5" thickBot="1">
      <c r="A80" s="112" t="s">
        <v>2246</v>
      </c>
      <c r="B80" s="298" t="s">
        <v>2247</v>
      </c>
      <c r="C80" s="79"/>
      <c r="D80" s="79"/>
      <c r="E80" s="79"/>
      <c r="F80" s="79"/>
      <c r="G80" s="79"/>
      <c r="H80" s="79"/>
      <c r="I80" s="79"/>
      <c r="J80" s="79"/>
      <c r="K80" s="79"/>
      <c r="L80" s="79"/>
      <c r="M80" s="79"/>
      <c r="N80" s="79"/>
      <c r="O80" s="79"/>
      <c r="P80" s="79"/>
      <c r="Q80" s="79"/>
      <c r="R80" s="79"/>
      <c r="S80" s="79"/>
      <c r="T80" s="79"/>
      <c r="U80" s="79"/>
      <c r="V80" s="79"/>
      <c r="W80" s="79"/>
      <c r="X80" s="79"/>
      <c r="Y80" s="79"/>
      <c r="Z80" s="79"/>
    </row>
    <row r="81" spans="1:26" ht="21" customHeight="1" thickBot="1">
      <c r="A81" s="291"/>
      <c r="B81" s="291"/>
      <c r="C81" s="79"/>
      <c r="D81" s="79"/>
      <c r="E81" s="79"/>
      <c r="F81" s="79"/>
      <c r="G81" s="79"/>
      <c r="H81" s="79"/>
      <c r="I81" s="79"/>
      <c r="J81" s="79"/>
      <c r="K81" s="79"/>
      <c r="L81" s="79"/>
      <c r="M81" s="79"/>
      <c r="N81" s="79"/>
      <c r="O81" s="79"/>
      <c r="P81" s="79"/>
      <c r="Q81" s="79"/>
      <c r="R81" s="79"/>
      <c r="S81" s="79"/>
      <c r="T81" s="79"/>
      <c r="U81" s="79"/>
      <c r="V81" s="79"/>
      <c r="W81" s="79"/>
      <c r="X81" s="79"/>
      <c r="Y81" s="79"/>
      <c r="Z81" s="79"/>
    </row>
    <row r="82" spans="1:26" ht="21.5" thickBot="1">
      <c r="A82" s="335" t="s">
        <v>2248</v>
      </c>
      <c r="B82" s="299">
        <f>C88</f>
        <v>42000</v>
      </c>
      <c r="C82" s="298" t="s">
        <v>2249</v>
      </c>
      <c r="D82" s="298" t="s">
        <v>2250</v>
      </c>
      <c r="E82" s="79"/>
      <c r="F82" s="79"/>
      <c r="G82" s="79"/>
      <c r="H82" s="79"/>
      <c r="I82" s="79"/>
      <c r="J82" s="79"/>
      <c r="K82" s="79"/>
      <c r="L82" s="79"/>
      <c r="M82" s="79"/>
      <c r="N82" s="79"/>
      <c r="O82" s="79"/>
      <c r="P82" s="79"/>
      <c r="Q82" s="79"/>
      <c r="R82" s="79"/>
      <c r="S82" s="79"/>
      <c r="T82" s="79"/>
      <c r="U82" s="79"/>
      <c r="V82" s="79"/>
      <c r="W82" s="79"/>
      <c r="X82" s="79"/>
      <c r="Y82" s="79"/>
      <c r="Z82" s="79"/>
    </row>
    <row r="83" spans="1:26" ht="21" customHeight="1" thickBot="1">
      <c r="A83" s="291"/>
      <c r="B83" s="291"/>
      <c r="C83" s="79"/>
      <c r="D83" s="79"/>
      <c r="E83" s="79"/>
      <c r="F83" s="79"/>
      <c r="G83" s="79"/>
      <c r="H83" s="79"/>
      <c r="I83" s="79"/>
      <c r="J83" s="79"/>
      <c r="K83" s="79"/>
      <c r="L83" s="79"/>
      <c r="M83" s="79"/>
      <c r="N83" s="79"/>
      <c r="O83" s="79"/>
      <c r="P83" s="79"/>
      <c r="Q83" s="79"/>
      <c r="R83" s="79"/>
      <c r="S83" s="79"/>
      <c r="T83" s="79"/>
      <c r="U83" s="79"/>
      <c r="V83" s="79"/>
      <c r="W83" s="79"/>
      <c r="X83" s="79"/>
      <c r="Y83" s="79"/>
      <c r="Z83" s="79"/>
    </row>
    <row r="84" spans="1:26" ht="21.5" thickBot="1">
      <c r="A84" s="477" t="s">
        <v>2251</v>
      </c>
      <c r="B84" s="112" t="s">
        <v>2252</v>
      </c>
      <c r="C84" s="112">
        <v>200</v>
      </c>
      <c r="D84" s="112"/>
      <c r="E84" s="79"/>
      <c r="F84" s="79"/>
      <c r="G84" s="79"/>
      <c r="H84" s="79"/>
      <c r="I84" s="79"/>
      <c r="J84" s="79"/>
      <c r="K84" s="79"/>
      <c r="L84" s="79"/>
      <c r="M84" s="79"/>
      <c r="N84" s="79"/>
      <c r="O84" s="79"/>
      <c r="P84" s="79"/>
      <c r="Q84" s="79"/>
      <c r="R84" s="79"/>
      <c r="S84" s="79"/>
      <c r="T84" s="79"/>
      <c r="U84" s="79"/>
      <c r="V84" s="79"/>
      <c r="W84" s="79"/>
      <c r="X84" s="79"/>
      <c r="Y84" s="79"/>
      <c r="Z84" s="79"/>
    </row>
    <row r="85" spans="1:26" ht="21.5" hidden="1" thickBot="1">
      <c r="A85" s="478"/>
      <c r="B85" s="112" t="s">
        <v>2253</v>
      </c>
      <c r="C85" s="287">
        <f>IF(OR(C84&lt;50,C84&gt;300),0,1)</f>
        <v>1</v>
      </c>
      <c r="D85" s="112" t="str">
        <f>IF(C85=1,"ENTRADA PERMITIDA","ERROR, EL VALOR DEBE ESTAR ENTRE 50 Y 300")</f>
        <v>ENTRADA PERMITIDA</v>
      </c>
      <c r="E85" s="79"/>
      <c r="F85" s="79"/>
      <c r="G85" s="79"/>
      <c r="H85" s="79"/>
      <c r="I85" s="79"/>
      <c r="J85" s="79"/>
      <c r="K85" s="79"/>
      <c r="L85" s="79"/>
      <c r="M85" s="79"/>
      <c r="N85" s="79"/>
      <c r="O85" s="79"/>
      <c r="P85" s="79"/>
      <c r="Q85" s="79"/>
      <c r="R85" s="79"/>
      <c r="S85" s="79"/>
      <c r="T85" s="79"/>
      <c r="U85" s="79"/>
      <c r="V85" s="79"/>
      <c r="W85" s="79"/>
      <c r="X85" s="79"/>
      <c r="Y85" s="79"/>
      <c r="Z85" s="79"/>
    </row>
    <row r="86" spans="1:26" ht="21.5" thickBot="1">
      <c r="A86" s="478"/>
      <c r="B86" s="112" t="s">
        <v>2254</v>
      </c>
      <c r="C86" s="112">
        <v>7</v>
      </c>
      <c r="D86" s="112"/>
      <c r="E86" s="79"/>
      <c r="F86" s="79"/>
      <c r="G86" s="79"/>
      <c r="H86" s="79"/>
      <c r="I86" s="79"/>
      <c r="J86" s="79"/>
      <c r="K86" s="79"/>
      <c r="L86" s="79"/>
      <c r="M86" s="79"/>
      <c r="N86" s="79"/>
      <c r="O86" s="79"/>
      <c r="P86" s="79"/>
      <c r="Q86" s="79"/>
      <c r="R86" s="79"/>
      <c r="S86" s="79"/>
      <c r="T86" s="79"/>
      <c r="U86" s="79"/>
      <c r="V86" s="79"/>
      <c r="W86" s="79"/>
      <c r="X86" s="79"/>
      <c r="Y86" s="79"/>
      <c r="Z86" s="79"/>
    </row>
    <row r="87" spans="1:26" ht="21.5" thickBot="1">
      <c r="A87" s="478"/>
      <c r="B87" s="112" t="s">
        <v>2255</v>
      </c>
      <c r="C87" s="112">
        <v>30</v>
      </c>
      <c r="D87" s="112" t="s">
        <v>2256</v>
      </c>
      <c r="E87" s="79"/>
      <c r="F87" s="79"/>
      <c r="G87" s="79"/>
      <c r="H87" s="79"/>
      <c r="I87" s="79"/>
      <c r="J87" s="79"/>
      <c r="K87" s="79"/>
      <c r="L87" s="79"/>
      <c r="M87" s="79"/>
      <c r="N87" s="79"/>
      <c r="O87" s="79"/>
      <c r="P87" s="79"/>
      <c r="Q87" s="79"/>
      <c r="R87" s="79"/>
      <c r="S87" s="79"/>
      <c r="T87" s="79"/>
      <c r="U87" s="79"/>
      <c r="V87" s="79"/>
      <c r="W87" s="79"/>
      <c r="X87" s="79"/>
      <c r="Y87" s="79"/>
      <c r="Z87" s="79"/>
    </row>
    <row r="88" spans="1:26" ht="21.5" thickBot="1">
      <c r="A88" s="479"/>
      <c r="B88" s="112" t="s">
        <v>2257</v>
      </c>
      <c r="C88" s="113">
        <f>C84*C86*C87</f>
        <v>42000</v>
      </c>
      <c r="D88" s="112"/>
      <c r="E88" s="79"/>
      <c r="F88" s="79"/>
      <c r="G88" s="79"/>
      <c r="H88" s="79"/>
      <c r="I88" s="79"/>
      <c r="J88" s="79"/>
      <c r="K88" s="79"/>
      <c r="L88" s="79"/>
      <c r="M88" s="79"/>
      <c r="N88" s="79"/>
      <c r="O88" s="79"/>
      <c r="P88" s="79"/>
      <c r="Q88" s="79"/>
      <c r="R88" s="79"/>
      <c r="S88" s="79"/>
      <c r="T88" s="79"/>
      <c r="U88" s="79"/>
      <c r="V88" s="79"/>
      <c r="W88" s="79"/>
      <c r="X88" s="79"/>
      <c r="Y88" s="79"/>
      <c r="Z88" s="79"/>
    </row>
    <row r="89" spans="1:26" ht="21" customHeight="1" thickBot="1">
      <c r="A89" s="291"/>
      <c r="B89" s="291"/>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1:26" ht="21.5" thickBot="1">
      <c r="A90" s="333" t="s">
        <v>2258</v>
      </c>
      <c r="B90" s="112" t="s">
        <v>2259</v>
      </c>
      <c r="C90" s="79"/>
      <c r="D90" s="79"/>
      <c r="E90" s="79"/>
      <c r="F90" s="79"/>
      <c r="G90" s="79"/>
      <c r="H90" s="79"/>
      <c r="I90" s="79"/>
      <c r="J90" s="79"/>
      <c r="K90" s="79"/>
      <c r="L90" s="79"/>
      <c r="M90" s="79"/>
      <c r="N90" s="79"/>
      <c r="O90" s="79"/>
      <c r="P90" s="79"/>
      <c r="Q90" s="79"/>
      <c r="R90" s="79"/>
      <c r="S90" s="79"/>
      <c r="T90" s="79"/>
      <c r="U90" s="79"/>
      <c r="V90" s="79"/>
      <c r="W90" s="79"/>
      <c r="X90" s="79"/>
      <c r="Y90" s="79"/>
      <c r="Z90" s="79"/>
    </row>
    <row r="91" spans="1:26" ht="21" customHeight="1" thickBot="1">
      <c r="A91" s="291"/>
      <c r="B91" s="291"/>
      <c r="C91" s="79"/>
      <c r="D91" s="79"/>
      <c r="E91" s="79"/>
      <c r="F91" s="79"/>
      <c r="G91" s="79"/>
      <c r="H91" s="79"/>
      <c r="I91" s="79"/>
      <c r="J91" s="79"/>
      <c r="K91" s="79"/>
      <c r="L91" s="79"/>
      <c r="M91" s="79"/>
      <c r="N91" s="79"/>
      <c r="O91" s="79"/>
      <c r="P91" s="79"/>
      <c r="Q91" s="79"/>
      <c r="R91" s="79"/>
      <c r="S91" s="79"/>
      <c r="T91" s="79"/>
      <c r="U91" s="79"/>
      <c r="V91" s="79"/>
      <c r="W91" s="79"/>
      <c r="X91" s="79"/>
      <c r="Y91" s="79"/>
      <c r="Z91" s="79"/>
    </row>
    <row r="92" spans="1:26" ht="21.5" thickBot="1">
      <c r="A92" s="333" t="s">
        <v>2260</v>
      </c>
      <c r="B92" s="301">
        <v>0</v>
      </c>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ht="21.5" thickBot="1">
      <c r="A93" s="291"/>
      <c r="B93" s="393"/>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ht="21.5" thickBot="1">
      <c r="A94" s="333" t="s">
        <v>2261</v>
      </c>
      <c r="B94" s="394" t="str">
        <f>IF(B90=0,0,IF(B90="Generador Distribuido Colectivo (sólo le interesa vender energía) - GDC","No aplica para este tipo de agente",IF(B82&lt;B75,"Revise la generación porque es menor que el consumo de la comunidad","Validado generación mayor al consumo")))</f>
        <v>No aplica para este tipo de agente</v>
      </c>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ht="21" customHeight="1" thickBot="1">
      <c r="A95" s="291"/>
      <c r="B95" s="291"/>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ht="21" customHeight="1" thickBot="1">
      <c r="A96" s="407" t="s">
        <v>2262</v>
      </c>
      <c r="B96" s="408"/>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ht="21" customHeight="1" thickBot="1">
      <c r="A97" s="291"/>
      <c r="B97" s="291"/>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ht="21.5" thickBot="1">
      <c r="A98" s="336" t="s">
        <v>2263</v>
      </c>
      <c r="B98" s="298" t="s">
        <v>2264</v>
      </c>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ht="21.5" thickBot="1">
      <c r="A99" s="112" t="s">
        <v>2265</v>
      </c>
      <c r="B99" s="302">
        <f>'PRECIOS BOLSA ENERGÍA COLOMBIA'!B186</f>
        <v>699.25018283289216</v>
      </c>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ht="21.5" thickBot="1">
      <c r="A100" s="112" t="s">
        <v>2266</v>
      </c>
      <c r="B100" s="302">
        <f>B99*(1+'PROYECCIONES MACROECONÓMICAS'!$B$7)</f>
        <v>740.50594362003278</v>
      </c>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ht="21.5" thickBot="1">
      <c r="A101" s="112" t="s">
        <v>2267</v>
      </c>
      <c r="B101" s="302">
        <f>B100*(1+'PROYECCIONES MACROECONÓMICAS'!$B$7)</f>
        <v>784.19579429361465</v>
      </c>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ht="21.5" thickBot="1">
      <c r="A102" s="112" t="s">
        <v>2268</v>
      </c>
      <c r="B102" s="302">
        <f>B101*(1+'PROYECCIONES MACROECONÓMICAS'!$B$7)</f>
        <v>830.46334615693786</v>
      </c>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ht="21.5" thickBot="1">
      <c r="A103" s="112" t="s">
        <v>2269</v>
      </c>
      <c r="B103" s="302">
        <f>B102*(1+'PROYECCIONES MACROECONÓMICAS'!$B$7)</f>
        <v>879.46068358019716</v>
      </c>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ht="21.5" thickBot="1">
      <c r="A104" s="112" t="s">
        <v>2270</v>
      </c>
      <c r="B104" s="302">
        <f>B103*(1+'PROYECCIONES MACROECONÓMICAS'!$B$7)</f>
        <v>931.34886391142868</v>
      </c>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ht="21.5" thickBot="1">
      <c r="A105" s="112" t="s">
        <v>2271</v>
      </c>
      <c r="B105" s="302">
        <f>B104*(1+'PROYECCIONES MACROECONÓMICAS'!$B$7)</f>
        <v>986.29844688220294</v>
      </c>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ht="21.5" thickBot="1">
      <c r="A106" s="112" t="s">
        <v>2272</v>
      </c>
      <c r="B106" s="302">
        <f>B105*(1+'PROYECCIONES MACROECONÓMICAS'!$B$7)</f>
        <v>1044.4900552482529</v>
      </c>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ht="21.5" thickBot="1">
      <c r="A107" s="112" t="s">
        <v>2273</v>
      </c>
      <c r="B107" s="302">
        <f>B106*(1+'PROYECCIONES MACROECONÓMICAS'!$B$7)</f>
        <v>1106.1149685078999</v>
      </c>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ht="21.5" thickBot="1">
      <c r="A108" s="112" t="s">
        <v>2274</v>
      </c>
      <c r="B108" s="302">
        <f>B107*(1+'PROYECCIONES MACROECONÓMICAS'!$B$7)</f>
        <v>1171.3757516498658</v>
      </c>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ht="21" customHeight="1" thickBot="1">
      <c r="A109" s="291"/>
      <c r="B109" s="291"/>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ht="21.5" thickBot="1">
      <c r="A110" s="431" t="s">
        <v>2275</v>
      </c>
      <c r="B110" s="432"/>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ht="21.5" thickBot="1">
      <c r="A111" s="291"/>
      <c r="B111" s="291"/>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ht="21.5" thickBot="1">
      <c r="A112" s="112" t="s">
        <v>2276</v>
      </c>
      <c r="B112" s="303">
        <v>0</v>
      </c>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ht="21" customHeight="1" thickBot="1">
      <c r="A113" s="291"/>
      <c r="B113" s="291"/>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ht="21.5" thickBot="1">
      <c r="A114" s="112" t="s">
        <v>2277</v>
      </c>
      <c r="B114" s="303">
        <v>0</v>
      </c>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ht="21" customHeight="1" thickBot="1">
      <c r="A115" s="291"/>
      <c r="B115" s="291"/>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ht="21.5" thickBot="1">
      <c r="A116" s="112" t="s">
        <v>2278</v>
      </c>
      <c r="B116" s="303">
        <v>150000</v>
      </c>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ht="21" customHeight="1" thickBot="1">
      <c r="A117" s="291"/>
      <c r="B117" s="291"/>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ht="21.5" thickBot="1">
      <c r="A118" s="112" t="s">
        <v>2279</v>
      </c>
      <c r="B118" s="303">
        <v>50000</v>
      </c>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ht="21" customHeight="1" thickBot="1">
      <c r="A119" s="291"/>
      <c r="B119" s="291"/>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ht="21.5" thickBot="1">
      <c r="A120" s="112" t="s">
        <v>2280</v>
      </c>
      <c r="B120" s="303">
        <v>0</v>
      </c>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ht="21" customHeight="1" thickBot="1">
      <c r="A121" s="291"/>
      <c r="B121" s="291"/>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ht="21.5" thickBot="1">
      <c r="A122" s="112" t="s">
        <v>2281</v>
      </c>
      <c r="B122" s="303">
        <v>50000</v>
      </c>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ht="21" customHeight="1" thickBot="1">
      <c r="A123" s="291"/>
      <c r="B123" s="291"/>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ht="21.5" thickBot="1">
      <c r="A124" s="112" t="s">
        <v>2282</v>
      </c>
      <c r="B124" s="303">
        <v>50000</v>
      </c>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ht="21" customHeight="1" thickBot="1">
      <c r="A125" s="291"/>
      <c r="B125" s="291"/>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21.5" thickBot="1">
      <c r="A126" s="112" t="s">
        <v>2283</v>
      </c>
      <c r="B126" s="303">
        <v>50000</v>
      </c>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21" customHeight="1" thickBot="1">
      <c r="A127" s="291"/>
      <c r="B127" s="291"/>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21.5" thickBot="1">
      <c r="A128" s="112" t="s">
        <v>2284</v>
      </c>
      <c r="B128" s="303">
        <v>0</v>
      </c>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21" customHeight="1" thickBot="1">
      <c r="A129" s="291"/>
      <c r="B129" s="291"/>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21.5" thickBot="1">
      <c r="A130" s="112" t="s">
        <v>2285</v>
      </c>
      <c r="B130" s="303">
        <v>300000</v>
      </c>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21" customHeight="1" thickBot="1">
      <c r="A131" s="291"/>
      <c r="B131" s="291"/>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21.5" thickBot="1">
      <c r="A132" s="112" t="s">
        <v>2286</v>
      </c>
      <c r="B132" s="303">
        <v>0</v>
      </c>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21" customHeight="1" thickBot="1">
      <c r="A133" s="291"/>
      <c r="B133" s="291"/>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21.5" thickBot="1">
      <c r="A134" s="112" t="s">
        <v>2287</v>
      </c>
      <c r="B134" s="303">
        <v>0</v>
      </c>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21" customHeight="1" thickBot="1">
      <c r="A135" s="291"/>
      <c r="B135" s="291"/>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21.5" thickBot="1">
      <c r="A136" s="112" t="s">
        <v>2288</v>
      </c>
      <c r="B136" s="303">
        <v>0</v>
      </c>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21" customHeight="1" thickBot="1">
      <c r="A137" s="291"/>
      <c r="B137" s="291"/>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21.5" thickBot="1">
      <c r="A138" s="333" t="s">
        <v>2289</v>
      </c>
      <c r="B138" s="303">
        <f>F159</f>
        <v>7951332.666666666</v>
      </c>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21" customHeight="1" thickBot="1">
      <c r="A139" s="291"/>
      <c r="B139" s="291"/>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21.5" thickBot="1">
      <c r="A140" s="286" t="s">
        <v>2290</v>
      </c>
      <c r="B140" s="309">
        <f>SUM(B112:B138)</f>
        <v>8601332.666666666</v>
      </c>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21" customHeight="1" thickBot="1">
      <c r="A141" s="291"/>
      <c r="B141" s="291"/>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21.5" thickBot="1">
      <c r="A142" s="461" t="s">
        <v>2291</v>
      </c>
      <c r="B142" s="462"/>
      <c r="C142" s="462"/>
      <c r="D142" s="462"/>
      <c r="E142" s="462"/>
      <c r="F142" s="463"/>
      <c r="G142" s="79"/>
      <c r="H142" s="79"/>
      <c r="I142" s="79"/>
      <c r="J142" s="79"/>
      <c r="K142" s="79"/>
      <c r="L142" s="79"/>
      <c r="M142" s="79"/>
      <c r="N142" s="79"/>
      <c r="O142" s="79"/>
      <c r="P142" s="79"/>
      <c r="Q142" s="79"/>
      <c r="R142" s="79"/>
      <c r="S142" s="79"/>
      <c r="T142" s="79"/>
      <c r="U142" s="79"/>
      <c r="V142" s="79"/>
      <c r="W142" s="79"/>
      <c r="X142" s="79"/>
      <c r="Y142" s="79"/>
      <c r="Z142" s="79"/>
    </row>
    <row r="143" spans="1:26" ht="21" customHeight="1" thickBot="1">
      <c r="A143" s="291"/>
      <c r="B143" s="291"/>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21.5" thickBot="1">
      <c r="A144" s="333" t="s">
        <v>2292</v>
      </c>
      <c r="B144" s="303">
        <v>1300000</v>
      </c>
      <c r="C144" s="304"/>
      <c r="D144" s="291"/>
      <c r="E144" s="291"/>
      <c r="F144" s="291"/>
      <c r="G144" s="79"/>
      <c r="H144" s="79"/>
      <c r="I144" s="79"/>
      <c r="J144" s="79"/>
      <c r="K144" s="79"/>
      <c r="L144" s="79"/>
      <c r="M144" s="79"/>
      <c r="N144" s="79"/>
      <c r="O144" s="79"/>
      <c r="P144" s="79"/>
      <c r="Q144" s="79"/>
      <c r="R144" s="79"/>
      <c r="S144" s="79"/>
      <c r="T144" s="79"/>
      <c r="U144" s="79"/>
      <c r="V144" s="79"/>
      <c r="W144" s="79"/>
      <c r="X144" s="79"/>
      <c r="Y144" s="79"/>
      <c r="Z144" s="79"/>
    </row>
    <row r="145" spans="1:26" ht="21" customHeight="1" thickBot="1">
      <c r="A145" s="291"/>
      <c r="B145" s="291"/>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21.5" thickBot="1">
      <c r="A146" s="112" t="s">
        <v>2293</v>
      </c>
      <c r="B146" s="303">
        <v>162000</v>
      </c>
      <c r="C146" s="304"/>
      <c r="D146" s="291"/>
      <c r="E146" s="291"/>
      <c r="F146" s="291"/>
      <c r="G146" s="79"/>
      <c r="H146" s="79"/>
      <c r="I146" s="79"/>
      <c r="J146" s="79"/>
      <c r="K146" s="79"/>
      <c r="L146" s="79"/>
      <c r="M146" s="79"/>
      <c r="N146" s="79"/>
      <c r="O146" s="79"/>
      <c r="P146" s="79"/>
      <c r="Q146" s="79"/>
      <c r="R146" s="79"/>
      <c r="S146" s="79"/>
      <c r="T146" s="79"/>
      <c r="U146" s="79"/>
      <c r="V146" s="79"/>
      <c r="W146" s="79"/>
      <c r="X146" s="79"/>
      <c r="Y146" s="79"/>
      <c r="Z146" s="79"/>
    </row>
    <row r="147" spans="1:26" ht="21" customHeight="1" thickBot="1">
      <c r="A147" s="291"/>
      <c r="B147" s="291"/>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21.5" thickBot="1">
      <c r="A148" s="298" t="s">
        <v>2294</v>
      </c>
      <c r="B148" s="298" t="s">
        <v>38</v>
      </c>
      <c r="C148" s="305" t="s">
        <v>2295</v>
      </c>
      <c r="D148" s="298" t="s">
        <v>2296</v>
      </c>
      <c r="E148" s="298" t="s">
        <v>2293</v>
      </c>
      <c r="F148" s="298" t="s">
        <v>2297</v>
      </c>
      <c r="G148" s="79"/>
      <c r="H148" s="79"/>
      <c r="I148" s="79"/>
      <c r="J148" s="79"/>
      <c r="K148" s="79"/>
      <c r="L148" s="79"/>
      <c r="M148" s="79"/>
      <c r="N148" s="79"/>
      <c r="O148" s="79"/>
      <c r="P148" s="79"/>
      <c r="Q148" s="79"/>
      <c r="R148" s="79"/>
      <c r="S148" s="79"/>
      <c r="T148" s="79"/>
      <c r="U148" s="79"/>
      <c r="V148" s="79"/>
      <c r="W148" s="79"/>
      <c r="X148" s="79"/>
      <c r="Y148" s="79"/>
      <c r="Z148" s="79"/>
    </row>
    <row r="149" spans="1:26" ht="21.5" thickBot="1">
      <c r="A149" s="112" t="s">
        <v>2298</v>
      </c>
      <c r="B149" s="112" t="s">
        <v>2299</v>
      </c>
      <c r="C149" s="303">
        <v>2000000</v>
      </c>
      <c r="D149" s="299">
        <f>C149*(1+'FACTOR MULTIPLICADOR PERSONAL'!$H$15)</f>
        <v>2817106.6666666665</v>
      </c>
      <c r="E149" s="303">
        <f t="shared" ref="E149:E158" si="0">IF(C149=0,0,IF(C149&lt;$B$144*2,$B$146,0))</f>
        <v>162000</v>
      </c>
      <c r="F149" s="299">
        <f t="shared" ref="F149:F158" si="1">D149+E149</f>
        <v>2979106.6666666665</v>
      </c>
      <c r="G149" s="79"/>
      <c r="H149" s="79"/>
      <c r="I149" s="79"/>
      <c r="J149" s="79"/>
      <c r="K149" s="79"/>
      <c r="L149" s="79"/>
      <c r="M149" s="79"/>
      <c r="N149" s="79"/>
      <c r="O149" s="79"/>
      <c r="P149" s="79"/>
      <c r="Q149" s="79"/>
      <c r="R149" s="79"/>
      <c r="S149" s="79"/>
      <c r="T149" s="79"/>
      <c r="U149" s="79"/>
      <c r="V149" s="79"/>
      <c r="W149" s="79"/>
      <c r="X149" s="79"/>
      <c r="Y149" s="79"/>
      <c r="Z149" s="79"/>
    </row>
    <row r="150" spans="1:26" ht="21.5" thickBot="1">
      <c r="A150" s="112" t="s">
        <v>2300</v>
      </c>
      <c r="B150" s="112" t="s">
        <v>2301</v>
      </c>
      <c r="C150" s="303">
        <v>1300000</v>
      </c>
      <c r="D150" s="299">
        <f>C150*(1+'FACTOR MULTIPLICADOR PERSONAL'!$H$15)</f>
        <v>1831119.3333333333</v>
      </c>
      <c r="E150" s="303">
        <f t="shared" si="0"/>
        <v>162000</v>
      </c>
      <c r="F150" s="299">
        <f t="shared" si="1"/>
        <v>1993119.3333333333</v>
      </c>
      <c r="G150" s="79"/>
      <c r="H150" s="79"/>
      <c r="I150" s="79"/>
      <c r="J150" s="79"/>
      <c r="K150" s="79"/>
      <c r="L150" s="79"/>
      <c r="M150" s="79"/>
      <c r="N150" s="79"/>
      <c r="O150" s="79"/>
      <c r="P150" s="79"/>
      <c r="Q150" s="79"/>
      <c r="R150" s="79"/>
      <c r="S150" s="79"/>
      <c r="T150" s="79"/>
      <c r="U150" s="79"/>
      <c r="V150" s="79"/>
      <c r="W150" s="79"/>
      <c r="X150" s="79"/>
      <c r="Y150" s="79"/>
      <c r="Z150" s="79"/>
    </row>
    <row r="151" spans="1:26" ht="21.5" thickBot="1">
      <c r="A151" s="112" t="s">
        <v>2302</v>
      </c>
      <c r="B151" s="112" t="s">
        <v>2303</v>
      </c>
      <c r="C151" s="303">
        <v>2000000</v>
      </c>
      <c r="D151" s="299">
        <f>C151*(1+'FACTOR MULTIPLICADOR PERSONAL'!$H$15)</f>
        <v>2817106.6666666665</v>
      </c>
      <c r="E151" s="303">
        <f t="shared" si="0"/>
        <v>162000</v>
      </c>
      <c r="F151" s="299">
        <f t="shared" si="1"/>
        <v>2979106.6666666665</v>
      </c>
      <c r="G151" s="79"/>
      <c r="H151" s="79"/>
      <c r="I151" s="79"/>
      <c r="J151" s="79"/>
      <c r="K151" s="79"/>
      <c r="L151" s="79"/>
      <c r="M151" s="79"/>
      <c r="N151" s="79"/>
      <c r="O151" s="79"/>
      <c r="P151" s="79"/>
      <c r="Q151" s="79"/>
      <c r="R151" s="79"/>
      <c r="S151" s="79"/>
      <c r="T151" s="79"/>
      <c r="U151" s="79"/>
      <c r="V151" s="79"/>
      <c r="W151" s="79"/>
      <c r="X151" s="79"/>
      <c r="Y151" s="79"/>
      <c r="Z151" s="79"/>
    </row>
    <row r="152" spans="1:26" ht="21.5" thickBot="1">
      <c r="A152" s="112" t="s">
        <v>2304</v>
      </c>
      <c r="B152" s="112"/>
      <c r="C152" s="303"/>
      <c r="D152" s="299">
        <f>C152*(1+'FACTOR MULTIPLICADOR PERSONAL'!$H$15)</f>
        <v>0</v>
      </c>
      <c r="E152" s="303">
        <f t="shared" si="0"/>
        <v>0</v>
      </c>
      <c r="F152" s="299">
        <f t="shared" si="1"/>
        <v>0</v>
      </c>
      <c r="G152" s="79"/>
      <c r="H152" s="79"/>
      <c r="I152" s="79"/>
      <c r="J152" s="79"/>
      <c r="K152" s="79"/>
      <c r="L152" s="79"/>
      <c r="M152" s="79"/>
      <c r="N152" s="79"/>
      <c r="O152" s="79"/>
      <c r="P152" s="79"/>
      <c r="Q152" s="79"/>
      <c r="R152" s="79"/>
      <c r="S152" s="79"/>
      <c r="T152" s="79"/>
      <c r="U152" s="79"/>
      <c r="V152" s="79"/>
      <c r="W152" s="79"/>
      <c r="X152" s="79"/>
      <c r="Y152" s="79"/>
      <c r="Z152" s="79"/>
    </row>
    <row r="153" spans="1:26" ht="21.5" thickBot="1">
      <c r="A153" s="112" t="s">
        <v>2305</v>
      </c>
      <c r="B153" s="112"/>
      <c r="C153" s="303"/>
      <c r="D153" s="299">
        <f>C153*(1+'FACTOR MULTIPLICADOR PERSONAL'!$H$15)</f>
        <v>0</v>
      </c>
      <c r="E153" s="303">
        <f t="shared" si="0"/>
        <v>0</v>
      </c>
      <c r="F153" s="299">
        <f t="shared" si="1"/>
        <v>0</v>
      </c>
      <c r="G153" s="79"/>
      <c r="H153" s="79"/>
      <c r="I153" s="79"/>
      <c r="J153" s="79"/>
      <c r="K153" s="79"/>
      <c r="L153" s="79"/>
      <c r="M153" s="79"/>
      <c r="N153" s="79"/>
      <c r="O153" s="79"/>
      <c r="P153" s="79"/>
      <c r="Q153" s="79"/>
      <c r="R153" s="79"/>
      <c r="S153" s="79"/>
      <c r="T153" s="79"/>
      <c r="U153" s="79"/>
      <c r="V153" s="79"/>
      <c r="W153" s="79"/>
      <c r="X153" s="79"/>
      <c r="Y153" s="79"/>
      <c r="Z153" s="79"/>
    </row>
    <row r="154" spans="1:26" ht="21.5" thickBot="1">
      <c r="A154" s="112" t="s">
        <v>2306</v>
      </c>
      <c r="B154" s="112"/>
      <c r="C154" s="303"/>
      <c r="D154" s="299">
        <f>C154*(1+'FACTOR MULTIPLICADOR PERSONAL'!$H$15)</f>
        <v>0</v>
      </c>
      <c r="E154" s="303">
        <f t="shared" si="0"/>
        <v>0</v>
      </c>
      <c r="F154" s="299">
        <f t="shared" si="1"/>
        <v>0</v>
      </c>
      <c r="G154" s="79"/>
      <c r="H154" s="79"/>
      <c r="I154" s="79"/>
      <c r="J154" s="79"/>
      <c r="K154" s="79"/>
      <c r="L154" s="79"/>
      <c r="M154" s="79"/>
      <c r="N154" s="79"/>
      <c r="O154" s="79"/>
      <c r="P154" s="79"/>
      <c r="Q154" s="79"/>
      <c r="R154" s="79"/>
      <c r="S154" s="79"/>
      <c r="T154" s="79"/>
      <c r="U154" s="79"/>
      <c r="V154" s="79"/>
      <c r="W154" s="79"/>
      <c r="X154" s="79"/>
      <c r="Y154" s="79"/>
      <c r="Z154" s="79"/>
    </row>
    <row r="155" spans="1:26" ht="21.5" thickBot="1">
      <c r="A155" s="112" t="s">
        <v>2307</v>
      </c>
      <c r="B155" s="112"/>
      <c r="C155" s="303"/>
      <c r="D155" s="299">
        <f>C155*(1+'FACTOR MULTIPLICADOR PERSONAL'!$H$15)</f>
        <v>0</v>
      </c>
      <c r="E155" s="303">
        <f t="shared" si="0"/>
        <v>0</v>
      </c>
      <c r="F155" s="299">
        <f t="shared" si="1"/>
        <v>0</v>
      </c>
      <c r="G155" s="79"/>
      <c r="H155" s="79"/>
      <c r="I155" s="79"/>
      <c r="J155" s="79"/>
      <c r="K155" s="79"/>
      <c r="L155" s="79"/>
      <c r="M155" s="79"/>
      <c r="N155" s="79"/>
      <c r="O155" s="79"/>
      <c r="P155" s="79"/>
      <c r="Q155" s="79"/>
      <c r="R155" s="79"/>
      <c r="S155" s="79"/>
      <c r="T155" s="79"/>
      <c r="U155" s="79"/>
      <c r="V155" s="79"/>
      <c r="W155" s="79"/>
      <c r="X155" s="79"/>
      <c r="Y155" s="79"/>
      <c r="Z155" s="79"/>
    </row>
    <row r="156" spans="1:26" ht="21.5" thickBot="1">
      <c r="A156" s="112" t="s">
        <v>2308</v>
      </c>
      <c r="B156" s="112"/>
      <c r="C156" s="303"/>
      <c r="D156" s="296">
        <f>C156*(1+'FACTOR MULTIPLICADOR PERSONAL'!$H$15)</f>
        <v>0</v>
      </c>
      <c r="E156" s="303">
        <f t="shared" si="0"/>
        <v>0</v>
      </c>
      <c r="F156" s="299">
        <f t="shared" si="1"/>
        <v>0</v>
      </c>
      <c r="G156" s="79"/>
      <c r="H156" s="79"/>
      <c r="I156" s="79"/>
      <c r="J156" s="79"/>
      <c r="K156" s="79"/>
      <c r="L156" s="79"/>
      <c r="M156" s="79"/>
      <c r="N156" s="79"/>
      <c r="O156" s="79"/>
      <c r="P156" s="79"/>
      <c r="Q156" s="79"/>
      <c r="R156" s="79"/>
      <c r="S156" s="79"/>
      <c r="T156" s="79"/>
      <c r="U156" s="79"/>
      <c r="V156" s="79"/>
      <c r="W156" s="79"/>
      <c r="X156" s="79"/>
      <c r="Y156" s="79"/>
      <c r="Z156" s="79"/>
    </row>
    <row r="157" spans="1:26" ht="21.5" thickBot="1">
      <c r="A157" s="112" t="s">
        <v>2309</v>
      </c>
      <c r="B157" s="112"/>
      <c r="C157" s="303"/>
      <c r="D157" s="299">
        <f>C157*(1+'FACTOR MULTIPLICADOR PERSONAL'!$H$15)</f>
        <v>0</v>
      </c>
      <c r="E157" s="303">
        <f t="shared" si="0"/>
        <v>0</v>
      </c>
      <c r="F157" s="299">
        <f t="shared" si="1"/>
        <v>0</v>
      </c>
      <c r="G157" s="79"/>
      <c r="H157" s="79"/>
      <c r="I157" s="79"/>
      <c r="J157" s="79"/>
      <c r="K157" s="79"/>
      <c r="L157" s="79"/>
      <c r="M157" s="79"/>
      <c r="N157" s="79"/>
      <c r="O157" s="79"/>
      <c r="P157" s="79"/>
      <c r="Q157" s="79"/>
      <c r="R157" s="79"/>
      <c r="S157" s="79"/>
      <c r="T157" s="79"/>
      <c r="U157" s="79"/>
      <c r="V157" s="79"/>
      <c r="W157" s="79"/>
      <c r="X157" s="79"/>
      <c r="Y157" s="79"/>
      <c r="Z157" s="79"/>
    </row>
    <row r="158" spans="1:26" ht="21.5" thickBot="1">
      <c r="A158" s="290" t="s">
        <v>2310</v>
      </c>
      <c r="B158" s="112"/>
      <c r="C158" s="303"/>
      <c r="D158" s="299">
        <f>C158*(1+'FACTOR MULTIPLICADOR PERSONAL'!$H$15)</f>
        <v>0</v>
      </c>
      <c r="E158" s="303">
        <f t="shared" si="0"/>
        <v>0</v>
      </c>
      <c r="F158" s="299">
        <f t="shared" si="1"/>
        <v>0</v>
      </c>
      <c r="G158" s="79"/>
      <c r="H158" s="79"/>
      <c r="I158" s="79"/>
      <c r="J158" s="79"/>
      <c r="K158" s="79"/>
      <c r="L158" s="79"/>
      <c r="M158" s="79"/>
      <c r="N158" s="79"/>
      <c r="O158" s="79"/>
      <c r="P158" s="79"/>
      <c r="Q158" s="79"/>
      <c r="R158" s="79"/>
      <c r="S158" s="79"/>
      <c r="T158" s="79"/>
      <c r="U158" s="79"/>
      <c r="V158" s="79"/>
      <c r="W158" s="79"/>
      <c r="X158" s="79"/>
      <c r="Y158" s="79"/>
      <c r="Z158" s="79"/>
    </row>
    <row r="159" spans="1:26" ht="21.5" thickBot="1">
      <c r="A159" s="409" t="s">
        <v>2290</v>
      </c>
      <c r="B159" s="410"/>
      <c r="C159" s="309">
        <f>SUM(C149:C158)</f>
        <v>5300000</v>
      </c>
      <c r="D159" s="309">
        <f>SUM(D149:D158)</f>
        <v>7465332.666666666</v>
      </c>
      <c r="E159" s="309">
        <f>SUM(E149:E158)</f>
        <v>486000</v>
      </c>
      <c r="F159" s="309">
        <f>SUM(F149:F158)</f>
        <v>7951332.666666666</v>
      </c>
      <c r="G159" s="79"/>
      <c r="H159" s="79"/>
      <c r="I159" s="79"/>
      <c r="J159" s="79"/>
      <c r="K159" s="79"/>
      <c r="L159" s="79"/>
      <c r="M159" s="79"/>
      <c r="N159" s="79"/>
      <c r="O159" s="79"/>
      <c r="P159" s="79"/>
      <c r="Q159" s="79"/>
      <c r="R159" s="79"/>
      <c r="S159" s="79"/>
      <c r="T159" s="79"/>
      <c r="U159" s="79"/>
      <c r="V159" s="79"/>
      <c r="W159" s="79"/>
      <c r="X159" s="79"/>
      <c r="Y159" s="79"/>
      <c r="Z159" s="79"/>
    </row>
    <row r="160" spans="1:26" ht="21" customHeight="1" thickBot="1">
      <c r="A160" s="291"/>
      <c r="B160" s="291"/>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21" customHeight="1" thickBot="1">
      <c r="A161" s="411" t="s">
        <v>2311</v>
      </c>
      <c r="B161" s="41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21.5" thickBot="1">
      <c r="A162" s="298" t="s">
        <v>2312</v>
      </c>
      <c r="B162" s="298" t="s">
        <v>2313</v>
      </c>
      <c r="C162" s="244"/>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21.5" thickBot="1">
      <c r="A163" s="112" t="s">
        <v>2314</v>
      </c>
      <c r="B163" s="303">
        <v>600000</v>
      </c>
      <c r="C163" s="96"/>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21.5" thickBot="1">
      <c r="A164" s="112" t="s">
        <v>2315</v>
      </c>
      <c r="B164" s="303">
        <v>85000</v>
      </c>
      <c r="C164" s="96"/>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21.5" thickBot="1">
      <c r="A165" s="286" t="s">
        <v>2290</v>
      </c>
      <c r="B165" s="307">
        <f>B163+B164</f>
        <v>685000</v>
      </c>
      <c r="C165" s="98"/>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21" customHeight="1" thickBot="1">
      <c r="A166" s="291"/>
      <c r="B166" s="291"/>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21.5" thickBot="1">
      <c r="A167" s="466" t="s">
        <v>2316</v>
      </c>
      <c r="B167" s="467"/>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21" customHeight="1" thickBot="1">
      <c r="A168" s="291"/>
      <c r="B168" s="291"/>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21.5" thickBot="1">
      <c r="A169" s="300" t="s">
        <v>2317</v>
      </c>
      <c r="B169" s="113">
        <v>200000</v>
      </c>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21" customHeight="1" thickBot="1">
      <c r="A170" s="291"/>
      <c r="B170" s="291"/>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21.5" thickBot="1">
      <c r="A171" s="300" t="s">
        <v>2318</v>
      </c>
      <c r="B171" s="113">
        <v>150000</v>
      </c>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21" customHeight="1" thickBot="1">
      <c r="A172" s="291"/>
      <c r="B172" s="291"/>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21.5" thickBot="1">
      <c r="A173" s="112" t="s">
        <v>2319</v>
      </c>
      <c r="B173" s="113">
        <v>0</v>
      </c>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21" customHeight="1" thickBot="1">
      <c r="A174" s="291"/>
      <c r="B174" s="291"/>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21.5" thickBot="1">
      <c r="A175" s="112" t="s">
        <v>2320</v>
      </c>
      <c r="B175" s="113">
        <v>70000</v>
      </c>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21" customHeight="1" thickBot="1">
      <c r="A176" s="291"/>
      <c r="B176" s="291"/>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21.5" thickBot="1">
      <c r="A177" s="112" t="s">
        <v>2321</v>
      </c>
      <c r="B177" s="113">
        <v>0</v>
      </c>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21" customHeight="1" thickBot="1">
      <c r="A178" s="291"/>
      <c r="B178" s="291"/>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21.5" thickBot="1">
      <c r="A179" s="112" t="s">
        <v>2322</v>
      </c>
      <c r="B179" s="113">
        <v>0</v>
      </c>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21" customHeight="1" thickBot="1">
      <c r="A180" s="291"/>
      <c r="B180" s="291"/>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21.5" thickBot="1">
      <c r="A181" s="112" t="s">
        <v>2323</v>
      </c>
      <c r="B181" s="113">
        <v>0</v>
      </c>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21" customHeight="1" thickBot="1">
      <c r="A182" s="291"/>
      <c r="B182" s="291"/>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21.5" thickBot="1">
      <c r="A183" s="112" t="s">
        <v>2324</v>
      </c>
      <c r="B183" s="113">
        <v>0</v>
      </c>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21" customHeight="1" thickBot="1">
      <c r="A184" s="291"/>
      <c r="B184" s="291"/>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21.5" thickBot="1">
      <c r="A185" s="112" t="s">
        <v>2325</v>
      </c>
      <c r="B185" s="113">
        <v>0</v>
      </c>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21" customHeight="1" thickBot="1">
      <c r="A186" s="291"/>
      <c r="B186" s="291"/>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21.5" thickBot="1">
      <c r="A187" s="112" t="s">
        <v>2326</v>
      </c>
      <c r="B187" s="113">
        <v>100000</v>
      </c>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21" customHeight="1" thickBot="1">
      <c r="A188" s="291"/>
      <c r="B188" s="291"/>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21.5" thickBot="1">
      <c r="A189" s="286" t="s">
        <v>2327</v>
      </c>
      <c r="B189" s="308">
        <f>SUM(B169:B187)</f>
        <v>520000</v>
      </c>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21" customHeight="1" thickBot="1">
      <c r="A190" s="291"/>
      <c r="B190" s="291"/>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21.5" thickBot="1">
      <c r="A191" s="464" t="s">
        <v>2328</v>
      </c>
      <c r="B191" s="465"/>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21" customHeight="1" thickBot="1">
      <c r="A192" s="291"/>
      <c r="B192" s="291"/>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21.5" thickBot="1">
      <c r="A193" s="333" t="s">
        <v>2329</v>
      </c>
      <c r="B193" s="113">
        <v>0</v>
      </c>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21" customHeight="1" thickBot="1">
      <c r="A194" s="291"/>
      <c r="B194" s="291"/>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21.5" thickBot="1">
      <c r="A195" s="333" t="s">
        <v>2330</v>
      </c>
      <c r="B195" s="113">
        <v>0</v>
      </c>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21" customHeight="1" thickBot="1">
      <c r="A196" s="291"/>
      <c r="B196" s="291"/>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21.5" thickBot="1">
      <c r="A197" s="333" t="s">
        <v>2331</v>
      </c>
      <c r="B197" s="113">
        <v>0</v>
      </c>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21" customHeight="1" thickBot="1">
      <c r="A198" s="291"/>
      <c r="B198" s="291"/>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4.5" customHeight="1">
      <c r="A199" s="453" t="str">
        <f>"De acuerdo con la fuente energética elegida, seleccione los preoperativos e inversión inicial de esa fuente energética en particular. Para todas las fuentes se debe diligenciar los preoperativos generales, le recuredo que su elección fue:"&amp;" "&amp;B80</f>
        <v>De acuerdo con la fuente energética elegida, seleccione los preoperativos e inversión inicial de esa fuente energética en particular. Para todas las fuentes se debe diligenciar los preoperativos generales, le recuredo que su elección fue: SOLAR FOTOVOLTAICO</v>
      </c>
      <c r="B199" s="454"/>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4.5" customHeight="1">
      <c r="A200" s="455"/>
      <c r="B200" s="456"/>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4.5" customHeight="1">
      <c r="A201" s="455"/>
      <c r="B201" s="456"/>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5" customHeight="1" thickBot="1">
      <c r="A202" s="457"/>
      <c r="B202" s="458"/>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21" customHeight="1">
      <c r="A203" s="291"/>
      <c r="B203" s="291"/>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21.5" thickBot="1">
      <c r="A204" s="468" t="s">
        <v>2332</v>
      </c>
      <c r="B204" s="468"/>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c r="A205" s="471" t="s">
        <v>2333</v>
      </c>
      <c r="B205" s="472"/>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c r="A206" s="473"/>
      <c r="B206" s="474"/>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5" thickBot="1">
      <c r="A207" s="475"/>
      <c r="B207" s="476"/>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21" customHeight="1">
      <c r="A208" s="291"/>
      <c r="B208" s="291"/>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21">
      <c r="A209" s="449" t="s">
        <v>2334</v>
      </c>
      <c r="B209" s="450"/>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21">
      <c r="A210" s="449" t="s">
        <v>2335</v>
      </c>
      <c r="B210" s="450"/>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21">
      <c r="A211" s="449" t="s">
        <v>2336</v>
      </c>
      <c r="B211" s="450"/>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21">
      <c r="A212" s="449" t="s">
        <v>2337</v>
      </c>
      <c r="B212" s="450"/>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21" customHeight="1" thickBot="1">
      <c r="A213" s="291"/>
      <c r="B213" s="291"/>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21.5" thickBot="1">
      <c r="A214" s="469" t="s">
        <v>2338</v>
      </c>
      <c r="B214" s="470"/>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21.5" hidden="1" outlineLevel="1" thickBot="1">
      <c r="A215" s="297" t="s">
        <v>2339</v>
      </c>
      <c r="B215" s="298" t="s">
        <v>2340</v>
      </c>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21.5" hidden="1" outlineLevel="1" thickBot="1">
      <c r="A216" s="112" t="s">
        <v>2318</v>
      </c>
      <c r="B216" s="113">
        <v>0</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21.5" hidden="1" outlineLevel="1" thickBot="1">
      <c r="A217" s="112" t="s">
        <v>2341</v>
      </c>
      <c r="B217" s="113">
        <v>0</v>
      </c>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21.5" hidden="1" outlineLevel="1" thickBot="1">
      <c r="A218" s="112" t="s">
        <v>2342</v>
      </c>
      <c r="B218" s="113">
        <v>0</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21.5" hidden="1" outlineLevel="1" thickBot="1">
      <c r="A219" s="112" t="s">
        <v>2343</v>
      </c>
      <c r="B219" s="113">
        <v>0</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21.5" hidden="1" outlineLevel="1" thickBot="1">
      <c r="A220" s="112" t="s">
        <v>2325</v>
      </c>
      <c r="B220" s="113">
        <v>0</v>
      </c>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21.5" hidden="1" outlineLevel="1" thickBot="1">
      <c r="A221" s="112" t="s">
        <v>2344</v>
      </c>
      <c r="B221" s="113"/>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21.5" hidden="1" outlineLevel="1" thickBot="1">
      <c r="A222" s="286" t="s">
        <v>2345</v>
      </c>
      <c r="B222" s="308">
        <f>SUM(B216:B220)</f>
        <v>0</v>
      </c>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21.5" collapsed="1" thickBot="1">
      <c r="A223" s="419" t="s">
        <v>2346</v>
      </c>
      <c r="B223" s="420"/>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21.5" hidden="1" outlineLevel="1" thickBot="1">
      <c r="A224" s="298" t="s">
        <v>2339</v>
      </c>
      <c r="B224" s="298" t="s">
        <v>2340</v>
      </c>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21.5" hidden="1" outlineLevel="1" thickBot="1">
      <c r="A225" s="112" t="s">
        <v>2347</v>
      </c>
      <c r="B225" s="113">
        <v>0</v>
      </c>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21.5" hidden="1" outlineLevel="1" thickBot="1">
      <c r="A226" s="284" t="s">
        <v>2348</v>
      </c>
      <c r="B226" s="113">
        <v>0</v>
      </c>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21.5" hidden="1" outlineLevel="1" thickBot="1">
      <c r="A227" s="112" t="s">
        <v>2349</v>
      </c>
      <c r="B227" s="113">
        <v>0</v>
      </c>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21.5" hidden="1" outlineLevel="1" thickBot="1">
      <c r="A228" s="112" t="s">
        <v>2350</v>
      </c>
      <c r="B228" s="113">
        <v>0</v>
      </c>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21.5" hidden="1" outlineLevel="1" thickBot="1">
      <c r="A229" s="112" t="s">
        <v>2351</v>
      </c>
      <c r="B229" s="113">
        <v>0</v>
      </c>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21.5" hidden="1" outlineLevel="1" thickBot="1">
      <c r="A230" s="112" t="s">
        <v>2352</v>
      </c>
      <c r="B230" s="113">
        <v>0</v>
      </c>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21.5" hidden="1" outlineLevel="1" thickBot="1">
      <c r="A231" s="112" t="s">
        <v>2353</v>
      </c>
      <c r="B231" s="113">
        <v>0</v>
      </c>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21.5" hidden="1" outlineLevel="1" thickBot="1">
      <c r="A232" s="112" t="s">
        <v>2354</v>
      </c>
      <c r="B232" s="113">
        <v>0</v>
      </c>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21.5" hidden="1" outlineLevel="1" thickBot="1">
      <c r="A233" s="112" t="s">
        <v>2355</v>
      </c>
      <c r="B233" s="113">
        <v>0</v>
      </c>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21.5" hidden="1" outlineLevel="1" thickBot="1">
      <c r="A234" s="112" t="s">
        <v>2356</v>
      </c>
      <c r="B234" s="113">
        <v>0</v>
      </c>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21.5" hidden="1" outlineLevel="1" thickBot="1">
      <c r="A235" s="112" t="s">
        <v>2357</v>
      </c>
      <c r="B235" s="113">
        <v>0</v>
      </c>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21.5" hidden="1" outlineLevel="1" thickBot="1">
      <c r="A236" s="286" t="s">
        <v>2358</v>
      </c>
      <c r="B236" s="307">
        <f>SUM(B225:B235)</f>
        <v>0</v>
      </c>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21.5" collapsed="1" thickBot="1">
      <c r="A237" s="421" t="s">
        <v>2359</v>
      </c>
      <c r="B237" s="422"/>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21.5" hidden="1" outlineLevel="1" thickBot="1">
      <c r="A238" s="298" t="s">
        <v>2339</v>
      </c>
      <c r="B238" s="298" t="s">
        <v>2340</v>
      </c>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21.5" hidden="1" outlineLevel="1" thickBot="1">
      <c r="A239" s="112" t="s">
        <v>2360</v>
      </c>
      <c r="B239" s="113">
        <v>0</v>
      </c>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21.5" hidden="1" outlineLevel="1" thickBot="1">
      <c r="A240" s="112" t="s">
        <v>2361</v>
      </c>
      <c r="B240" s="113">
        <v>0</v>
      </c>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21.5" hidden="1" outlineLevel="1" thickBot="1">
      <c r="A241" s="284" t="s">
        <v>2362</v>
      </c>
      <c r="B241" s="113">
        <v>0</v>
      </c>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21.5" hidden="1" outlineLevel="1" thickBot="1">
      <c r="A242" s="112" t="s">
        <v>2363</v>
      </c>
      <c r="B242" s="113">
        <v>0</v>
      </c>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21.5" hidden="1" outlineLevel="1" thickBot="1">
      <c r="A243" s="112" t="s">
        <v>2364</v>
      </c>
      <c r="B243" s="113">
        <v>0</v>
      </c>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21.5" hidden="1" outlineLevel="1" thickBot="1">
      <c r="A244" s="112" t="s">
        <v>2349</v>
      </c>
      <c r="B244" s="113">
        <v>0</v>
      </c>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21.5" hidden="1" outlineLevel="1" thickBot="1">
      <c r="A245" s="112" t="s">
        <v>2350</v>
      </c>
      <c r="B245" s="113">
        <v>0</v>
      </c>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21.5" hidden="1" outlineLevel="1" thickBot="1">
      <c r="A246" s="112" t="s">
        <v>2365</v>
      </c>
      <c r="B246" s="113">
        <v>0</v>
      </c>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21.5" hidden="1" outlineLevel="1" thickBot="1">
      <c r="A247" s="292" t="s">
        <v>2366</v>
      </c>
      <c r="B247" s="113">
        <v>0</v>
      </c>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21.5" hidden="1" outlineLevel="1" thickBot="1">
      <c r="A248" s="112" t="s">
        <v>2352</v>
      </c>
      <c r="B248" s="113">
        <v>0</v>
      </c>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21.5" hidden="1" outlineLevel="1" thickBot="1">
      <c r="A249" s="112" t="s">
        <v>2353</v>
      </c>
      <c r="B249" s="113">
        <v>0</v>
      </c>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21.5" hidden="1" outlineLevel="1" thickBot="1">
      <c r="A250" s="112" t="s">
        <v>2355</v>
      </c>
      <c r="B250" s="113">
        <v>0</v>
      </c>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21.5" hidden="1" outlineLevel="1" thickBot="1">
      <c r="A251" s="112" t="s">
        <v>2367</v>
      </c>
      <c r="B251" s="113">
        <v>0</v>
      </c>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21.5" hidden="1" outlineLevel="1" thickBot="1">
      <c r="A252" s="112" t="s">
        <v>2368</v>
      </c>
      <c r="B252" s="113">
        <v>0</v>
      </c>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21.5" hidden="1" outlineLevel="1" thickBot="1">
      <c r="A253" s="286" t="s">
        <v>2369</v>
      </c>
      <c r="B253" s="307">
        <f>SUM(B239:B252)</f>
        <v>0</v>
      </c>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21.5" collapsed="1" thickBot="1">
      <c r="A254" s="423" t="s">
        <v>2370</v>
      </c>
      <c r="B254" s="424"/>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21.5" hidden="1" outlineLevel="1" thickBot="1">
      <c r="A255" s="298" t="s">
        <v>2339</v>
      </c>
      <c r="B255" s="298" t="s">
        <v>2340</v>
      </c>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21.5" hidden="1" outlineLevel="1" thickBot="1">
      <c r="A256" s="112" t="s">
        <v>2371</v>
      </c>
      <c r="B256" s="299">
        <v>0</v>
      </c>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21.5" hidden="1" outlineLevel="1" thickBot="1">
      <c r="A257" s="112" t="s">
        <v>2352</v>
      </c>
      <c r="B257" s="299">
        <v>0</v>
      </c>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21.5" hidden="1" outlineLevel="1" thickBot="1">
      <c r="A258" s="112" t="s">
        <v>2372</v>
      </c>
      <c r="B258" s="299">
        <v>0</v>
      </c>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21.5" hidden="1" outlineLevel="1" thickBot="1">
      <c r="A259" s="112" t="s">
        <v>2355</v>
      </c>
      <c r="B259" s="299">
        <v>0</v>
      </c>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21.5" hidden="1" outlineLevel="1" thickBot="1">
      <c r="A260" s="112" t="s">
        <v>2367</v>
      </c>
      <c r="B260" s="299">
        <v>0</v>
      </c>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21.5" hidden="1" outlineLevel="1" thickBot="1">
      <c r="A261" s="112" t="s">
        <v>2357</v>
      </c>
      <c r="B261" s="299">
        <v>0</v>
      </c>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21.5" hidden="1" outlineLevel="1" thickBot="1">
      <c r="A262" s="286" t="s">
        <v>2373</v>
      </c>
      <c r="B262" s="307">
        <f>SUM(B256:B261)</f>
        <v>0</v>
      </c>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21.5" collapsed="1" thickBot="1">
      <c r="A263" s="425" t="s">
        <v>2374</v>
      </c>
      <c r="B263" s="426"/>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21.5" hidden="1" outlineLevel="1" thickBot="1">
      <c r="A264" s="298" t="s">
        <v>2339</v>
      </c>
      <c r="B264" s="298" t="s">
        <v>2340</v>
      </c>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21.5" hidden="1" outlineLevel="1" thickBot="1">
      <c r="A265" s="112" t="s">
        <v>2375</v>
      </c>
      <c r="B265" s="299">
        <v>0</v>
      </c>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21.5" hidden="1" outlineLevel="1" thickBot="1">
      <c r="A266" s="112" t="s">
        <v>2352</v>
      </c>
      <c r="B266" s="299">
        <v>0</v>
      </c>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21.5" hidden="1" outlineLevel="1" thickBot="1">
      <c r="A267" s="112" t="s">
        <v>2353</v>
      </c>
      <c r="B267" s="299">
        <v>0</v>
      </c>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21.5" hidden="1" outlineLevel="1" thickBot="1">
      <c r="A268" s="112" t="s">
        <v>2355</v>
      </c>
      <c r="B268" s="299">
        <v>0</v>
      </c>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21.5" hidden="1" outlineLevel="1" thickBot="1">
      <c r="A269" s="112" t="s">
        <v>2367</v>
      </c>
      <c r="B269" s="299">
        <v>0</v>
      </c>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21.5" hidden="1" outlineLevel="1" thickBot="1">
      <c r="A270" s="112" t="s">
        <v>2357</v>
      </c>
      <c r="B270" s="299">
        <v>0</v>
      </c>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21.5" hidden="1" outlineLevel="1" thickBot="1">
      <c r="A271" s="112" t="s">
        <v>2376</v>
      </c>
      <c r="B271" s="299">
        <v>0</v>
      </c>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21.5" hidden="1" outlineLevel="1" thickBot="1">
      <c r="A272" s="286" t="s">
        <v>2377</v>
      </c>
      <c r="B272" s="307">
        <f>SUM(B265:B271)</f>
        <v>0</v>
      </c>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21.5" collapsed="1" thickBot="1">
      <c r="A273" s="427" t="s">
        <v>2378</v>
      </c>
      <c r="B273" s="428"/>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21.5" hidden="1" outlineLevel="1" thickBot="1">
      <c r="A274" s="298" t="s">
        <v>2339</v>
      </c>
      <c r="B274" s="298" t="s">
        <v>2340</v>
      </c>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21.5" hidden="1" outlineLevel="1" thickBot="1">
      <c r="A275" s="292" t="s">
        <v>2379</v>
      </c>
      <c r="B275" s="299">
        <v>0</v>
      </c>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21.5" hidden="1" outlineLevel="1" thickBot="1">
      <c r="A276" s="292" t="s">
        <v>2380</v>
      </c>
      <c r="B276" s="299">
        <v>0</v>
      </c>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21.5" hidden="1" outlineLevel="1" thickBot="1">
      <c r="A277" s="112" t="s">
        <v>2381</v>
      </c>
      <c r="B277" s="299">
        <v>0</v>
      </c>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21.5" hidden="1" outlineLevel="1" thickBot="1">
      <c r="A278" s="112" t="s">
        <v>2352</v>
      </c>
      <c r="B278" s="299">
        <v>0</v>
      </c>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21.5" hidden="1" outlineLevel="1" thickBot="1">
      <c r="A279" s="112" t="s">
        <v>2382</v>
      </c>
      <c r="B279" s="299">
        <v>0</v>
      </c>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21.5" hidden="1" outlineLevel="1" thickBot="1">
      <c r="A280" s="112" t="s">
        <v>2372</v>
      </c>
      <c r="B280" s="299">
        <v>0</v>
      </c>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21.5" hidden="1" outlineLevel="1" thickBot="1">
      <c r="A281" s="112" t="s">
        <v>2383</v>
      </c>
      <c r="B281" s="299">
        <v>0</v>
      </c>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21.5" hidden="1" outlineLevel="1" thickBot="1">
      <c r="A282" s="112" t="s">
        <v>2384</v>
      </c>
      <c r="B282" s="299">
        <v>0</v>
      </c>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21.5" hidden="1" outlineLevel="1" thickBot="1">
      <c r="A283" s="112" t="s">
        <v>2385</v>
      </c>
      <c r="B283" s="299">
        <v>0</v>
      </c>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21.5" hidden="1" outlineLevel="1" thickBot="1">
      <c r="A284" s="112" t="s">
        <v>2355</v>
      </c>
      <c r="B284" s="299">
        <v>0</v>
      </c>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21.5" hidden="1" outlineLevel="1" thickBot="1">
      <c r="A285" s="112" t="s">
        <v>2386</v>
      </c>
      <c r="B285" s="299">
        <v>0</v>
      </c>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21.5" hidden="1" outlineLevel="1" thickBot="1">
      <c r="A286" s="112" t="s">
        <v>2387</v>
      </c>
      <c r="B286" s="299">
        <v>0</v>
      </c>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21.5" hidden="1" outlineLevel="1" thickBot="1">
      <c r="A287" s="112" t="s">
        <v>2388</v>
      </c>
      <c r="B287" s="299">
        <v>0</v>
      </c>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21.5" hidden="1" outlineLevel="1" thickBot="1">
      <c r="A288" s="112" t="s">
        <v>2389</v>
      </c>
      <c r="B288" s="299">
        <v>0</v>
      </c>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21.5" hidden="1" outlineLevel="1" thickBot="1">
      <c r="A289" s="112" t="s">
        <v>2390</v>
      </c>
      <c r="B289" s="299">
        <v>0</v>
      </c>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21.5" hidden="1" outlineLevel="1" thickBot="1">
      <c r="A290" s="112" t="s">
        <v>2391</v>
      </c>
      <c r="B290" s="299">
        <v>0</v>
      </c>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21.5" hidden="1" outlineLevel="1" thickBot="1">
      <c r="A291" s="286" t="s">
        <v>2392</v>
      </c>
      <c r="B291" s="307">
        <f>SUM(B275:B290)</f>
        <v>0</v>
      </c>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21.5" collapsed="1" thickBot="1">
      <c r="A292" s="409" t="s">
        <v>2393</v>
      </c>
      <c r="B292" s="410"/>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21.5" thickBot="1">
      <c r="A293" s="429" t="s">
        <v>2394</v>
      </c>
      <c r="B293" s="430"/>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21.5" hidden="1" outlineLevel="1" thickBot="1">
      <c r="A294" s="298" t="s">
        <v>2339</v>
      </c>
      <c r="B294" s="298" t="s">
        <v>2340</v>
      </c>
      <c r="C294" s="80"/>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21.5" hidden="1" outlineLevel="1" thickBot="1">
      <c r="A295" s="112" t="s">
        <v>2395</v>
      </c>
      <c r="B295" s="299">
        <f>48062.38*4350.74*1.7</f>
        <v>355481762.57404</v>
      </c>
      <c r="C295" s="96"/>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21.5" hidden="1" outlineLevel="1" thickBot="1">
      <c r="A296" s="112" t="s">
        <v>2396</v>
      </c>
      <c r="B296" s="299">
        <v>0</v>
      </c>
      <c r="C296" s="96"/>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21.5" hidden="1" outlineLevel="1" thickBot="1">
      <c r="A297" s="112" t="s">
        <v>2397</v>
      </c>
      <c r="B297" s="299">
        <v>0</v>
      </c>
      <c r="C297" s="96"/>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21.5" hidden="1" outlineLevel="1" thickBot="1">
      <c r="A298" s="112" t="s">
        <v>2398</v>
      </c>
      <c r="B298" s="299">
        <v>0</v>
      </c>
      <c r="C298" s="96"/>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21.5" hidden="1" outlineLevel="1" thickBot="1">
      <c r="A299" s="112" t="s">
        <v>2399</v>
      </c>
      <c r="B299" s="299">
        <v>0</v>
      </c>
      <c r="C299" s="96"/>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21.5" hidden="1" outlineLevel="1" thickBot="1">
      <c r="A300" s="112" t="s">
        <v>2400</v>
      </c>
      <c r="B300" s="299">
        <v>0</v>
      </c>
      <c r="C300" s="96"/>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21.5" hidden="1" outlineLevel="1" thickBot="1">
      <c r="A301" s="112" t="s">
        <v>2401</v>
      </c>
      <c r="B301" s="299">
        <v>0</v>
      </c>
      <c r="C301" s="96"/>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21.5" hidden="1" outlineLevel="1" thickBot="1">
      <c r="A302" s="112" t="s">
        <v>2402</v>
      </c>
      <c r="B302" s="299">
        <v>0</v>
      </c>
      <c r="C302" s="96"/>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21.5" hidden="1" outlineLevel="1" thickBot="1">
      <c r="A303" s="112" t="s">
        <v>2403</v>
      </c>
      <c r="B303" s="299">
        <v>0</v>
      </c>
      <c r="C303" s="96"/>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21.5" hidden="1" outlineLevel="1" thickBot="1">
      <c r="A304" s="112" t="s">
        <v>2404</v>
      </c>
      <c r="B304" s="299">
        <v>0</v>
      </c>
      <c r="C304" s="96"/>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21.5" hidden="1" outlineLevel="1" thickBot="1">
      <c r="A305" s="112" t="s">
        <v>2405</v>
      </c>
      <c r="B305" s="299">
        <v>0</v>
      </c>
      <c r="C305" s="96"/>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21.5" hidden="1" outlineLevel="1" thickBot="1">
      <c r="A306" s="112" t="s">
        <v>2406</v>
      </c>
      <c r="B306" s="299">
        <v>0</v>
      </c>
      <c r="C306" s="96"/>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21.5" hidden="1" outlineLevel="1" thickBot="1">
      <c r="A307" s="112" t="s">
        <v>2407</v>
      </c>
      <c r="B307" s="299">
        <v>0</v>
      </c>
      <c r="C307" s="96"/>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21.5" hidden="1" outlineLevel="1" thickBot="1">
      <c r="A308" s="286" t="s">
        <v>2408</v>
      </c>
      <c r="B308" s="307">
        <f>SUM(B295:B307)</f>
        <v>355481762.57404</v>
      </c>
      <c r="C308" s="96"/>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21.5" collapsed="1" thickBot="1">
      <c r="A309" s="417" t="s">
        <v>2409</v>
      </c>
      <c r="B309" s="418"/>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21.5" hidden="1" outlineLevel="1" thickBot="1">
      <c r="A310" s="298" t="s">
        <v>2339</v>
      </c>
      <c r="B310" s="298" t="s">
        <v>2340</v>
      </c>
      <c r="C310" s="80"/>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21.5" hidden="1" outlineLevel="1" thickBot="1">
      <c r="A311" s="112" t="s">
        <v>2410</v>
      </c>
      <c r="B311" s="299">
        <v>0</v>
      </c>
      <c r="C311" s="96"/>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21.5" hidden="1" outlineLevel="1" thickBot="1">
      <c r="A312" s="112" t="s">
        <v>2411</v>
      </c>
      <c r="B312" s="299">
        <v>0</v>
      </c>
      <c r="C312" s="96"/>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21.5" hidden="1" outlineLevel="1" thickBot="1">
      <c r="A313" s="112" t="s">
        <v>2412</v>
      </c>
      <c r="B313" s="299">
        <v>0</v>
      </c>
      <c r="C313" s="96"/>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21.5" hidden="1" outlineLevel="1" thickBot="1">
      <c r="A314" s="112" t="s">
        <v>2413</v>
      </c>
      <c r="B314" s="299">
        <v>0</v>
      </c>
      <c r="C314" s="96"/>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21.5" hidden="1" outlineLevel="1" thickBot="1">
      <c r="A315" s="112" t="s">
        <v>2405</v>
      </c>
      <c r="B315" s="299">
        <v>0</v>
      </c>
      <c r="C315" s="96"/>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21.5" hidden="1" outlineLevel="1" thickBot="1">
      <c r="A316" s="112" t="s">
        <v>2406</v>
      </c>
      <c r="B316" s="299">
        <v>0</v>
      </c>
      <c r="C316" s="96"/>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21.5" hidden="1" outlineLevel="1" thickBot="1">
      <c r="A317" s="112" t="s">
        <v>2407</v>
      </c>
      <c r="B317" s="299">
        <v>0</v>
      </c>
      <c r="C317" s="96"/>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21.5" hidden="1" outlineLevel="1" thickBot="1">
      <c r="A318" s="286" t="s">
        <v>2414</v>
      </c>
      <c r="B318" s="307">
        <f>SUM(B311:B317)</f>
        <v>0</v>
      </c>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21.5" collapsed="1" thickBot="1">
      <c r="A319" s="415" t="s">
        <v>2415</v>
      </c>
      <c r="B319" s="416"/>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21.5" hidden="1" outlineLevel="1" thickBot="1">
      <c r="A320" s="298" t="s">
        <v>2339</v>
      </c>
      <c r="B320" s="298" t="s">
        <v>2340</v>
      </c>
      <c r="C320" s="80"/>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21.5" hidden="1" outlineLevel="1" thickBot="1">
      <c r="A321" s="112" t="s">
        <v>2416</v>
      </c>
      <c r="B321" s="299">
        <v>0</v>
      </c>
      <c r="C321" s="96"/>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21.5" hidden="1" outlineLevel="1" thickBot="1">
      <c r="A322" s="112" t="s">
        <v>2417</v>
      </c>
      <c r="B322" s="299">
        <v>0</v>
      </c>
      <c r="C322" s="96"/>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21.5" hidden="1" outlineLevel="1" thickBot="1">
      <c r="A323" s="112" t="s">
        <v>2418</v>
      </c>
      <c r="B323" s="299">
        <v>0</v>
      </c>
      <c r="C323" s="96"/>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21.5" hidden="1" outlineLevel="1" thickBot="1">
      <c r="A324" s="112" t="s">
        <v>2419</v>
      </c>
      <c r="B324" s="299">
        <v>0</v>
      </c>
      <c r="C324" s="96"/>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21.5" hidden="1" outlineLevel="1" thickBot="1">
      <c r="A325" s="112" t="s">
        <v>2420</v>
      </c>
      <c r="B325" s="299">
        <v>0</v>
      </c>
      <c r="C325" s="96"/>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21.5" hidden="1" outlineLevel="1" thickBot="1">
      <c r="A326" s="112" t="s">
        <v>2421</v>
      </c>
      <c r="B326" s="299">
        <v>0</v>
      </c>
      <c r="C326" s="96"/>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21.5" hidden="1" outlineLevel="1" thickBot="1">
      <c r="A327" s="112" t="s">
        <v>2422</v>
      </c>
      <c r="B327" s="299">
        <v>0</v>
      </c>
      <c r="C327" s="96"/>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21.5" hidden="1" outlineLevel="1" thickBot="1">
      <c r="A328" s="112" t="s">
        <v>2423</v>
      </c>
      <c r="B328" s="299">
        <v>0</v>
      </c>
      <c r="C328" s="96"/>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21.5" hidden="1" outlineLevel="1" thickBot="1">
      <c r="A329" s="112" t="s">
        <v>2424</v>
      </c>
      <c r="B329" s="299">
        <v>0</v>
      </c>
      <c r="C329" s="96"/>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21.5" hidden="1" outlineLevel="1" thickBot="1">
      <c r="A330" s="112" t="s">
        <v>2425</v>
      </c>
      <c r="B330" s="299">
        <v>0</v>
      </c>
      <c r="C330" s="96"/>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21.5" hidden="1" outlineLevel="1" thickBot="1">
      <c r="A331" s="112" t="s">
        <v>2426</v>
      </c>
      <c r="B331" s="299">
        <v>0</v>
      </c>
      <c r="C331" s="96"/>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21.5" hidden="1" outlineLevel="1" thickBot="1">
      <c r="A332" s="112" t="s">
        <v>2427</v>
      </c>
      <c r="B332" s="299">
        <v>0</v>
      </c>
      <c r="C332" s="96"/>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21.5" hidden="1" outlineLevel="1" thickBot="1">
      <c r="A333" s="112" t="s">
        <v>2407</v>
      </c>
      <c r="B333" s="299">
        <v>0</v>
      </c>
      <c r="C333" s="96"/>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21.5" hidden="1" outlineLevel="1" thickBot="1">
      <c r="A334" s="286" t="s">
        <v>2428</v>
      </c>
      <c r="B334" s="307">
        <f>SUM(B321:B333)</f>
        <v>0</v>
      </c>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21.5" collapsed="1" thickBot="1">
      <c r="A335" s="459" t="s">
        <v>2429</v>
      </c>
      <c r="B335" s="460"/>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21.5" hidden="1" outlineLevel="1" thickBot="1">
      <c r="A336" s="298" t="s">
        <v>2339</v>
      </c>
      <c r="B336" s="298" t="s">
        <v>2340</v>
      </c>
      <c r="C336" s="80"/>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21.5" hidden="1" outlineLevel="1" thickBot="1">
      <c r="A337" s="112" t="s">
        <v>2430</v>
      </c>
      <c r="B337" s="299">
        <v>0</v>
      </c>
      <c r="C337" s="96"/>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21.5" hidden="1" outlineLevel="1" thickBot="1">
      <c r="A338" s="112" t="s">
        <v>2431</v>
      </c>
      <c r="B338" s="299">
        <v>0</v>
      </c>
      <c r="C338" s="96"/>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21.5" hidden="1" outlineLevel="1" thickBot="1">
      <c r="A339" s="284" t="s">
        <v>2432</v>
      </c>
      <c r="B339" s="299">
        <v>0</v>
      </c>
      <c r="C339" s="96"/>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21.5" hidden="1" outlineLevel="1" thickBot="1">
      <c r="A340" s="112" t="s">
        <v>2433</v>
      </c>
      <c r="B340" s="299">
        <v>0</v>
      </c>
      <c r="C340" s="96"/>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21.5" hidden="1" outlineLevel="1" thickBot="1">
      <c r="A341" s="112" t="s">
        <v>2434</v>
      </c>
      <c r="B341" s="299">
        <v>0</v>
      </c>
      <c r="C341" s="96"/>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21.5" hidden="1" outlineLevel="1" thickBot="1">
      <c r="A342" s="112" t="s">
        <v>2435</v>
      </c>
      <c r="B342" s="299">
        <v>0</v>
      </c>
      <c r="C342" s="96"/>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21.5" hidden="1" outlineLevel="1" thickBot="1">
      <c r="A343" s="112" t="s">
        <v>2436</v>
      </c>
      <c r="B343" s="299">
        <v>0</v>
      </c>
      <c r="C343" s="96"/>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21.5" hidden="1" outlineLevel="1" thickBot="1">
      <c r="A344" s="112" t="s">
        <v>2437</v>
      </c>
      <c r="B344" s="299">
        <v>0</v>
      </c>
      <c r="C344" s="96"/>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21.5" hidden="1" outlineLevel="1" thickBot="1">
      <c r="A345" s="112" t="s">
        <v>2438</v>
      </c>
      <c r="B345" s="299">
        <v>0</v>
      </c>
      <c r="C345" s="96"/>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21.5" hidden="1" outlineLevel="1" thickBot="1">
      <c r="A346" s="112" t="s">
        <v>2439</v>
      </c>
      <c r="B346" s="299">
        <v>0</v>
      </c>
      <c r="C346" s="96"/>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21.5" hidden="1" outlineLevel="1" thickBot="1">
      <c r="A347" s="112" t="s">
        <v>2440</v>
      </c>
      <c r="B347" s="299">
        <v>0</v>
      </c>
      <c r="C347" s="96"/>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21.5" hidden="1" outlineLevel="1" thickBot="1">
      <c r="A348" s="112" t="s">
        <v>2407</v>
      </c>
      <c r="B348" s="299">
        <v>0</v>
      </c>
      <c r="C348" s="96"/>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21.5" hidden="1" outlineLevel="1" thickBot="1">
      <c r="A349" s="286" t="s">
        <v>2441</v>
      </c>
      <c r="B349" s="307">
        <f>SUM(B337:B348)</f>
        <v>0</v>
      </c>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21.5" collapsed="1" thickBot="1">
      <c r="A350" s="413" t="s">
        <v>2442</v>
      </c>
      <c r="B350" s="414"/>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21.5" hidden="1" outlineLevel="1" thickBot="1">
      <c r="A351" s="298" t="s">
        <v>2339</v>
      </c>
      <c r="B351" s="298" t="s">
        <v>2340</v>
      </c>
      <c r="C351" s="80"/>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21.5" hidden="1" outlineLevel="1" thickBot="1">
      <c r="A352" s="112" t="s">
        <v>2443</v>
      </c>
      <c r="B352" s="299">
        <v>0</v>
      </c>
      <c r="C352" s="96"/>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21.5" hidden="1" outlineLevel="1" thickBot="1">
      <c r="A353" s="112" t="s">
        <v>2423</v>
      </c>
      <c r="B353" s="299">
        <v>0</v>
      </c>
      <c r="C353" s="96"/>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21.5" hidden="1" outlineLevel="1" thickBot="1">
      <c r="A354" s="112" t="s">
        <v>2444</v>
      </c>
      <c r="B354" s="299">
        <v>0</v>
      </c>
      <c r="C354" s="96"/>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21.5" hidden="1" outlineLevel="1" thickBot="1">
      <c r="A355" s="112" t="s">
        <v>2445</v>
      </c>
      <c r="B355" s="299">
        <v>0</v>
      </c>
      <c r="C355" s="96"/>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21.5" hidden="1" outlineLevel="1" thickBot="1">
      <c r="A356" s="112" t="s">
        <v>2446</v>
      </c>
      <c r="B356" s="299">
        <v>0</v>
      </c>
      <c r="C356" s="96"/>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21.5" hidden="1" outlineLevel="1" thickBot="1">
      <c r="A357" s="112" t="s">
        <v>2447</v>
      </c>
      <c r="B357" s="299">
        <v>0</v>
      </c>
      <c r="C357" s="96"/>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21.5" hidden="1" outlineLevel="1" thickBot="1">
      <c r="A358" s="112" t="s">
        <v>2448</v>
      </c>
      <c r="B358" s="299">
        <v>0</v>
      </c>
      <c r="C358" s="96"/>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21.5" hidden="1" outlineLevel="1" thickBot="1">
      <c r="A359" s="112" t="s">
        <v>2449</v>
      </c>
      <c r="B359" s="299">
        <v>0</v>
      </c>
      <c r="C359" s="96"/>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21.5" hidden="1" outlineLevel="1" thickBot="1">
      <c r="A360" s="112" t="s">
        <v>2450</v>
      </c>
      <c r="B360" s="299">
        <v>0</v>
      </c>
      <c r="C360" s="96"/>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21.5" hidden="1" outlineLevel="1" thickBot="1">
      <c r="A361" s="112" t="s">
        <v>2438</v>
      </c>
      <c r="B361" s="299">
        <v>0</v>
      </c>
      <c r="C361" s="96"/>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21.5" hidden="1" outlineLevel="1" thickBot="1">
      <c r="A362" s="112" t="s">
        <v>2451</v>
      </c>
      <c r="B362" s="299">
        <v>0</v>
      </c>
      <c r="C362" s="96"/>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21.5" hidden="1" outlineLevel="1" thickBot="1">
      <c r="A363" s="112" t="s">
        <v>2452</v>
      </c>
      <c r="B363" s="299">
        <v>0</v>
      </c>
      <c r="C363" s="96"/>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21.5" hidden="1" outlineLevel="1" thickBot="1">
      <c r="A364" s="112" t="s">
        <v>2453</v>
      </c>
      <c r="B364" s="299">
        <v>0</v>
      </c>
      <c r="C364" s="96"/>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21.5" hidden="1" outlineLevel="1" thickBot="1">
      <c r="A365" s="112" t="s">
        <v>2454</v>
      </c>
      <c r="B365" s="299">
        <v>0</v>
      </c>
      <c r="C365" s="96"/>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21.5" hidden="1" outlineLevel="1" thickBot="1">
      <c r="A366" s="112" t="s">
        <v>2455</v>
      </c>
      <c r="B366" s="299">
        <v>0</v>
      </c>
      <c r="C366" s="96"/>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21.5" hidden="1" outlineLevel="1" thickBot="1">
      <c r="A367" s="112" t="s">
        <v>2456</v>
      </c>
      <c r="B367" s="299">
        <v>0</v>
      </c>
      <c r="C367" s="96"/>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21.5" hidden="1" outlineLevel="1" thickBot="1">
      <c r="A368" s="112" t="s">
        <v>2457</v>
      </c>
      <c r="B368" s="299">
        <v>0</v>
      </c>
      <c r="C368" s="96"/>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21.5" hidden="1" outlineLevel="1" thickBot="1">
      <c r="A369" s="112" t="s">
        <v>2458</v>
      </c>
      <c r="B369" s="299">
        <v>0</v>
      </c>
      <c r="C369" s="96"/>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21.5" hidden="1" outlineLevel="1" thickBot="1">
      <c r="A370" s="112" t="s">
        <v>2459</v>
      </c>
      <c r="B370" s="299">
        <v>0</v>
      </c>
      <c r="C370" s="96"/>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21.5" hidden="1" outlineLevel="1" thickBot="1">
      <c r="A371" s="112" t="s">
        <v>2460</v>
      </c>
      <c r="B371" s="299">
        <v>0</v>
      </c>
      <c r="C371" s="96"/>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21.5" hidden="1" outlineLevel="1" thickBot="1">
      <c r="A372" s="112" t="s">
        <v>2461</v>
      </c>
      <c r="B372" s="299">
        <v>0</v>
      </c>
      <c r="C372" s="96"/>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21.5" hidden="1" outlineLevel="1" thickBot="1">
      <c r="A373" s="112" t="s">
        <v>2407</v>
      </c>
      <c r="B373" s="299">
        <v>0</v>
      </c>
      <c r="C373" s="96"/>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21" hidden="1" outlineLevel="1">
      <c r="A374" s="285" t="s">
        <v>2462</v>
      </c>
      <c r="B374" s="306">
        <f>SUM(B352:B373)</f>
        <v>0</v>
      </c>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21" customHeight="1" collapsed="1" thickBot="1">
      <c r="A375" s="291"/>
      <c r="B375" s="291"/>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21.5" thickBot="1">
      <c r="A376" s="399" t="s">
        <v>2463</v>
      </c>
      <c r="B376" s="400"/>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21" customHeight="1" collapsed="1" thickBot="1">
      <c r="A377" s="291"/>
      <c r="B377" s="291"/>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21.5" thickBot="1">
      <c r="A378" s="310" t="s">
        <v>2464</v>
      </c>
      <c r="B378" s="288">
        <f>'ACTIVOS FIJOS E INTANGIBLES'!B158</f>
        <v>355481762.57404</v>
      </c>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21" customHeight="1" collapsed="1" thickBot="1">
      <c r="A379" s="291"/>
      <c r="B379" s="291"/>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21.5" thickBot="1">
      <c r="A380" s="112" t="s">
        <v>2465</v>
      </c>
      <c r="B380" s="311">
        <v>0.1</v>
      </c>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21" customHeight="1" collapsed="1" thickBot="1">
      <c r="A381" s="291"/>
      <c r="B381" s="291"/>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21.5" thickBot="1">
      <c r="A382" s="112" t="s">
        <v>2466</v>
      </c>
      <c r="B382" s="311">
        <v>0.4</v>
      </c>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21" customHeight="1" collapsed="1" thickBot="1">
      <c r="A383" s="291"/>
      <c r="B383" s="291"/>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21.5" thickBot="1">
      <c r="A384" s="112" t="s">
        <v>2467</v>
      </c>
      <c r="B384" s="311">
        <v>0</v>
      </c>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21" customHeight="1" collapsed="1" thickBot="1">
      <c r="A385" s="291"/>
      <c r="B385" s="291"/>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21.5" thickBot="1">
      <c r="A386" s="112" t="s">
        <v>2468</v>
      </c>
      <c r="B386" s="311">
        <v>0.5</v>
      </c>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21" customHeight="1" collapsed="1" thickBot="1">
      <c r="A387" s="291"/>
      <c r="B387" s="291"/>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21.5" thickBot="1">
      <c r="A388" s="112" t="s">
        <v>2290</v>
      </c>
      <c r="B388" s="311">
        <f>SUM(B380:B386)</f>
        <v>1</v>
      </c>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21" customHeight="1" collapsed="1" thickBot="1">
      <c r="A389" s="291"/>
      <c r="B389" s="291"/>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21.5" thickBot="1">
      <c r="A390" s="112" t="s">
        <v>2469</v>
      </c>
      <c r="B390" s="288">
        <f>IF(B388&lt;&gt;1,0,1)</f>
        <v>1</v>
      </c>
      <c r="C390" s="298" t="str">
        <f>IF(B390=0,"ERROR, LA SUMA DEBE DAR EL 100%","ENTRADA PERMITIDA")</f>
        <v>ENTRADA PERMITIDA</v>
      </c>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21" customHeight="1" collapsed="1" thickBot="1">
      <c r="A391" s="291"/>
      <c r="B391" s="291"/>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21.5" thickBot="1">
      <c r="A392" s="451" t="s">
        <v>2466</v>
      </c>
      <c r="B392" s="452"/>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21" customHeight="1" collapsed="1" thickBot="1">
      <c r="A393" s="291"/>
      <c r="B393" s="291"/>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21">
      <c r="A394" s="433" t="s">
        <v>2470</v>
      </c>
      <c r="B394" s="434"/>
      <c r="C394" s="97"/>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21">
      <c r="A395" s="445" t="s">
        <v>2471</v>
      </c>
      <c r="B395" s="446"/>
      <c r="C395" s="97"/>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21">
      <c r="A396" s="445" t="s">
        <v>2472</v>
      </c>
      <c r="B396" s="446"/>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21">
      <c r="A397" s="445" t="s">
        <v>2473</v>
      </c>
      <c r="B397" s="446"/>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21">
      <c r="A398" s="445" t="s">
        <v>2474</v>
      </c>
      <c r="B398" s="446"/>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21">
      <c r="A399" s="445" t="s">
        <v>2475</v>
      </c>
      <c r="B399" s="446"/>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21">
      <c r="A400" s="445" t="s">
        <v>2476</v>
      </c>
      <c r="B400" s="446"/>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21.5" thickBot="1">
      <c r="A401" s="447" t="s">
        <v>2477</v>
      </c>
      <c r="B401" s="448"/>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21" customHeight="1" collapsed="1" thickBot="1">
      <c r="A402" s="291"/>
      <c r="B402" s="291"/>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21.5" thickBot="1">
      <c r="A403" s="435" t="s">
        <v>2478</v>
      </c>
      <c r="B403" s="436"/>
      <c r="C403" s="437"/>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21" customHeight="1" collapsed="1" thickBot="1">
      <c r="A404" s="291"/>
      <c r="B404" s="291"/>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21.5" thickBot="1">
      <c r="A405" s="313" t="s">
        <v>2479</v>
      </c>
      <c r="B405" s="313" t="s">
        <v>2226</v>
      </c>
      <c r="C405" s="313" t="s">
        <v>2480</v>
      </c>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21.5" thickBot="1">
      <c r="A406" s="313" t="s">
        <v>2481</v>
      </c>
      <c r="B406" s="313" t="s">
        <v>2230</v>
      </c>
      <c r="C406" s="313" t="s">
        <v>2482</v>
      </c>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21.5" thickBot="1">
      <c r="A407" s="313" t="s">
        <v>2469</v>
      </c>
      <c r="B407" s="314">
        <f>IF(B405=0," ",COUNTIF(B405:B406,"SI"))</f>
        <v>1</v>
      </c>
      <c r="C407" s="314" t="str">
        <f>IF(B407&gt;1,"ERROR, DEBE TENER EN TODAS NO O SÓLO EN ALGUNA UN SI","ENTRADA PERMITIDA")</f>
        <v>ENTRADA PERMITIDA</v>
      </c>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21" customHeight="1" collapsed="1" thickBot="1">
      <c r="A408" s="291"/>
      <c r="B408" s="291"/>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21.5" thickBot="1">
      <c r="A409" s="315" t="s">
        <v>2483</v>
      </c>
      <c r="B409" s="316">
        <f>B378*B382</f>
        <v>142192705.029616</v>
      </c>
      <c r="C409" s="315" t="s">
        <v>2484</v>
      </c>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21.5" thickBot="1">
      <c r="A410" s="315" t="s">
        <v>2485</v>
      </c>
      <c r="B410" s="317">
        <v>1.4999999999999999E-2</v>
      </c>
      <c r="C410" s="315" t="s">
        <v>2486</v>
      </c>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21.5" thickBot="1">
      <c r="A411" s="315" t="s">
        <v>2487</v>
      </c>
      <c r="B411" s="316">
        <v>120</v>
      </c>
      <c r="C411" s="315" t="s">
        <v>2488</v>
      </c>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21.5" thickBot="1">
      <c r="A412" s="315" t="s">
        <v>2489</v>
      </c>
      <c r="B412" s="317">
        <v>0</v>
      </c>
      <c r="C412" s="315" t="s">
        <v>2490</v>
      </c>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21.5" thickBot="1">
      <c r="A413" s="315" t="s">
        <v>2253</v>
      </c>
      <c r="B413" s="318">
        <f>IF(B412=0,1,IF(B405="NO",0,1))</f>
        <v>1</v>
      </c>
      <c r="C413" s="319" t="str">
        <f>IF(B413=0,"ERROR, DEBE PONER SI EN LA PRIMERA PREGUNTA","ENTRADA PERMITIDA")</f>
        <v>ENTRADA PERMITIDA</v>
      </c>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21" hidden="1">
      <c r="A414" s="320" t="s">
        <v>2491</v>
      </c>
      <c r="B414" s="321">
        <f>B409*B412</f>
        <v>0</v>
      </c>
      <c r="C414" s="322" t="s">
        <v>2492</v>
      </c>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21" hidden="1">
      <c r="A415" s="320" t="s">
        <v>2493</v>
      </c>
      <c r="B415" s="321">
        <f>IF(B414&lt;&gt;0,IF($B$411=12,0,($B$409+CUMPRINC($B$410,$B$411,$B$409,1,12,0))*$B$412),0)</f>
        <v>0</v>
      </c>
      <c r="C415" s="322" t="s">
        <v>2494</v>
      </c>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21" hidden="1">
      <c r="A416" s="320" t="s">
        <v>2495</v>
      </c>
      <c r="B416" s="321">
        <f>IF(B415&lt;&gt;0,IF($B$411=24,0,($B$409+CUMPRINC($B$410,$B$411,$B$409,1,24,0))*$B$412),0)</f>
        <v>0</v>
      </c>
      <c r="C416" s="322" t="s">
        <v>2496</v>
      </c>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21" hidden="1">
      <c r="A417" s="320" t="s">
        <v>2497</v>
      </c>
      <c r="B417" s="321">
        <f>IF(B416&lt;&gt;0,IF($B$411=36,0,($B$409+CUMPRINC($B$410,$B$411,$B$409,1,36,0))*$B$412),0)</f>
        <v>0</v>
      </c>
      <c r="C417" s="322" t="s">
        <v>2498</v>
      </c>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21" hidden="1">
      <c r="A418" s="320" t="s">
        <v>2499</v>
      </c>
      <c r="B418" s="321">
        <f>IF(B417&lt;&gt;0,IF($B$411=48,0,($B$409+CUMPRINC($B$410,$B$411,$B$409,1,48,0))*$B$412),0)</f>
        <v>0</v>
      </c>
      <c r="C418" s="322" t="s">
        <v>2500</v>
      </c>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21" hidden="1">
      <c r="A419" s="320" t="s">
        <v>2501</v>
      </c>
      <c r="B419" s="321">
        <f>IF(B418&lt;&gt;0,IF($B$411=60,0,($B$409+CUMPRINC($B$410,$B$411,$B$409,1,60,0))*$B$412),0)</f>
        <v>0</v>
      </c>
      <c r="C419" s="322" t="s">
        <v>2502</v>
      </c>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21" hidden="1">
      <c r="A420" s="320" t="s">
        <v>2503</v>
      </c>
      <c r="B420" s="321">
        <f>IF(B419&lt;&gt;0,IF($B$411=72,0,($B$409+CUMPRINC($B$410,$B$411,$B$409,1,72,0))*$B$412),0)</f>
        <v>0</v>
      </c>
      <c r="C420" s="322" t="s">
        <v>2504</v>
      </c>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21" hidden="1">
      <c r="A421" s="320" t="s">
        <v>2505</v>
      </c>
      <c r="B421" s="321">
        <f>IF(B420&lt;&gt;0,IF($B$411=84,0,($B$409+CUMPRINC($B$410,$B$411,$B$409,1,84,0))*$B$412),0)</f>
        <v>0</v>
      </c>
      <c r="C421" s="322" t="s">
        <v>2506</v>
      </c>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21" hidden="1">
      <c r="A422" s="320" t="s">
        <v>2507</v>
      </c>
      <c r="B422" s="321">
        <f>IF(B421&lt;&gt;0,IF($B$411=96,0,($B$409+CUMPRINC($B$410,$B$411,$B$409,1,96,0))*$B$412),0)</f>
        <v>0</v>
      </c>
      <c r="C422" s="322" t="s">
        <v>2508</v>
      </c>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21" hidden="1">
      <c r="A423" s="320" t="s">
        <v>2509</v>
      </c>
      <c r="B423" s="321">
        <f>IF(B422&lt;&gt;0,IF($B$411=108,0,($B$409+CUMPRINC($B$410,$B$411,$B$409,1,108,0))*$B$412),0)</f>
        <v>0</v>
      </c>
      <c r="C423" s="322" t="s">
        <v>2510</v>
      </c>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21" hidden="1">
      <c r="A424" s="320" t="s">
        <v>2511</v>
      </c>
      <c r="B424" s="321">
        <f>IF(B423&lt;&gt;0,IF($B$411=120,0,($B$409+CUMPRINC($B$410,$B$411,$B$409,1,120,0))*$B$412),0)</f>
        <v>0</v>
      </c>
      <c r="C424" s="322" t="s">
        <v>2512</v>
      </c>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21.5" thickBot="1">
      <c r="A425" s="315" t="s">
        <v>2513</v>
      </c>
      <c r="B425" s="323">
        <v>0.1</v>
      </c>
      <c r="C425" s="324" t="s">
        <v>2514</v>
      </c>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21.5" thickBot="1">
      <c r="A426" s="315" t="s">
        <v>2253</v>
      </c>
      <c r="B426" s="318">
        <f>IF(B425=0,1,IF(B406="NO",0,1))</f>
        <v>1</v>
      </c>
      <c r="C426" s="319" t="str">
        <f>IF(B426=0,"ERROR, DEBE PONER SI EN LA TERCERA PREGUNTA","ENTRADA PERMITIDA")</f>
        <v>ENTRADA PERMITIDA</v>
      </c>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21.5" thickBot="1">
      <c r="A427" s="325" t="s">
        <v>2515</v>
      </c>
      <c r="B427" s="316">
        <f>B409*B425</f>
        <v>14219270.5029616</v>
      </c>
      <c r="C427" s="31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21.5" thickBot="1">
      <c r="A428" s="325" t="s">
        <v>2516</v>
      </c>
      <c r="B428" s="316">
        <f>PV(B410,B411,,-B427)</f>
        <v>2382057.5309963152</v>
      </c>
      <c r="C428" s="31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21.5" thickBot="1">
      <c r="A429" s="315" t="s">
        <v>2517</v>
      </c>
      <c r="B429" s="316">
        <f>IF(B409=0," ",IF(B405="SI",PMT(B410,B411,-B409),IF(B406="SI",PMT(B410,B411,-(B409-B428)),PMT(B410,B411,-B409))))</f>
        <v>2519180.9347589416</v>
      </c>
      <c r="C429" s="315" t="s">
        <v>2518</v>
      </c>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21" customHeight="1" collapsed="1" thickBot="1">
      <c r="A430" s="291"/>
      <c r="B430" s="291"/>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s="312" customFormat="1" ht="21.5" thickBot="1">
      <c r="A431" s="438" t="s">
        <v>2519</v>
      </c>
      <c r="B431" s="439"/>
      <c r="C431" s="439"/>
    </row>
    <row r="432" spans="1:26" ht="21" customHeight="1" collapsed="1" thickBot="1">
      <c r="A432" s="291"/>
      <c r="B432" s="291"/>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21.5" thickBot="1">
      <c r="A433" s="313" t="s">
        <v>2479</v>
      </c>
      <c r="B433" s="313"/>
      <c r="C433" s="313" t="s">
        <v>2480</v>
      </c>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21.5" thickBot="1">
      <c r="A434" s="313" t="s">
        <v>2481</v>
      </c>
      <c r="B434" s="313"/>
      <c r="C434" s="313" t="s">
        <v>2482</v>
      </c>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21.5" thickBot="1">
      <c r="A435" s="313" t="s">
        <v>2469</v>
      </c>
      <c r="B435" s="314" t="str">
        <f>IF(B433=0," ",COUNTIF(B433:B434,"SI"))</f>
        <v xml:space="preserve"> </v>
      </c>
      <c r="C435" s="314" t="str">
        <f>IF(B435&gt;1,"ERROR, DEBE TENER EN TODAS NO O SÓLO EN ALGUNA UN SI","ENTRADA PERMITIDA")</f>
        <v>ERROR, DEBE TENER EN TODAS NO O SÓLO EN ALGUNA UN SI</v>
      </c>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21" customHeight="1" collapsed="1" thickBot="1">
      <c r="A436" s="291"/>
      <c r="B436" s="291"/>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21.5" thickBot="1">
      <c r="A437" s="315" t="s">
        <v>2483</v>
      </c>
      <c r="B437" s="316"/>
      <c r="C437" s="315" t="s">
        <v>2484</v>
      </c>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21.5" thickBot="1">
      <c r="A438" s="315" t="s">
        <v>2485</v>
      </c>
      <c r="B438" s="317"/>
      <c r="C438" s="315" t="s">
        <v>2486</v>
      </c>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21.5" thickBot="1">
      <c r="A439" s="315" t="s">
        <v>2487</v>
      </c>
      <c r="B439" s="316"/>
      <c r="C439" s="315" t="s">
        <v>2488</v>
      </c>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21.5" thickBot="1">
      <c r="A440" s="315" t="s">
        <v>2489</v>
      </c>
      <c r="B440" s="317"/>
      <c r="C440" s="315" t="s">
        <v>2490</v>
      </c>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21.5" thickBot="1">
      <c r="A441" s="326" t="s">
        <v>2253</v>
      </c>
      <c r="B441" s="318">
        <f>IF(B440=0,1,IF(B433="NO",0,1))</f>
        <v>1</v>
      </c>
      <c r="C441" s="319" t="str">
        <f>IF(B441=0,"ERROR, DEBE PONER SI EN LA PRIMERA PREGUNTA","ENTRADA PERMITIDA")</f>
        <v>ENTRADA PERMITIDA</v>
      </c>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21" hidden="1">
      <c r="A442" s="320" t="s">
        <v>2491</v>
      </c>
      <c r="B442" s="321">
        <f>B437*B440</f>
        <v>0</v>
      </c>
      <c r="C442" s="322" t="s">
        <v>2492</v>
      </c>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21" hidden="1">
      <c r="A443" s="320" t="s">
        <v>2493</v>
      </c>
      <c r="B443" s="321">
        <f>IF(B442&lt;&gt;0,IF($B$411=12,0,($B$409+CUMPRINC($B$410,$B$411,$B$409,1,12,0))*$B$412),0)</f>
        <v>0</v>
      </c>
      <c r="C443" s="322" t="s">
        <v>2494</v>
      </c>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21" hidden="1">
      <c r="A444" s="320" t="s">
        <v>2495</v>
      </c>
      <c r="B444" s="321">
        <f>IF(B443&lt;&gt;0,IF($B$411=24,0,($B$409+CUMPRINC($B$410,$B$411,$B$409,1,24,0))*$B$412),0)</f>
        <v>0</v>
      </c>
      <c r="C444" s="322" t="s">
        <v>2496</v>
      </c>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21" hidden="1">
      <c r="A445" s="320" t="s">
        <v>2497</v>
      </c>
      <c r="B445" s="321">
        <f>IF(B444&lt;&gt;0,IF($B$411=36,0,($B$409+CUMPRINC($B$410,$B$411,$B$409,1,36,0))*$B$412),0)</f>
        <v>0</v>
      </c>
      <c r="C445" s="322" t="s">
        <v>2498</v>
      </c>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21" hidden="1">
      <c r="A446" s="320" t="s">
        <v>2499</v>
      </c>
      <c r="B446" s="321">
        <f>IF(B445&lt;&gt;0,IF($B$411=48,0,($B$409+CUMPRINC($B$410,$B$411,$B$409,1,48,0))*$B$412),0)</f>
        <v>0</v>
      </c>
      <c r="C446" s="322" t="s">
        <v>2500</v>
      </c>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21" hidden="1">
      <c r="A447" s="320" t="s">
        <v>2501</v>
      </c>
      <c r="B447" s="321">
        <f>IF(B446&lt;&gt;0,IF($B$411=60,0,($B$409+CUMPRINC($B$410,$B$411,$B$409,1,60,0))*$B$412),0)</f>
        <v>0</v>
      </c>
      <c r="C447" s="322" t="s">
        <v>2502</v>
      </c>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21" hidden="1">
      <c r="A448" s="320" t="s">
        <v>2503</v>
      </c>
      <c r="B448" s="321">
        <f>IF(B447&lt;&gt;0,IF($B$411=72,0,($B$409+CUMPRINC($B$410,$B$411,$B$409,1,72,0))*$B$412),0)</f>
        <v>0</v>
      </c>
      <c r="C448" s="322" t="s">
        <v>2504</v>
      </c>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21" hidden="1">
      <c r="A449" s="320" t="s">
        <v>2505</v>
      </c>
      <c r="B449" s="321">
        <f>IF(B448&lt;&gt;0,IF($B$411=84,0,($B$409+CUMPRINC($B$410,$B$411,$B$409,1,84,0))*$B$412),0)</f>
        <v>0</v>
      </c>
      <c r="C449" s="322" t="s">
        <v>2506</v>
      </c>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21" hidden="1">
      <c r="A450" s="320" t="s">
        <v>2507</v>
      </c>
      <c r="B450" s="321">
        <f>IF(B449&lt;&gt;0,IF($B$411=96,0,($B$409+CUMPRINC($B$410,$B$411,$B$409,1,96,0))*$B$412),0)</f>
        <v>0</v>
      </c>
      <c r="C450" s="322" t="s">
        <v>2508</v>
      </c>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21" hidden="1">
      <c r="A451" s="320" t="s">
        <v>2509</v>
      </c>
      <c r="B451" s="321">
        <f>IF(B450&lt;&gt;0,IF($B$411=108,0,($B$409+CUMPRINC($B$410,$B$411,$B$409,1,108,0))*$B$412),0)</f>
        <v>0</v>
      </c>
      <c r="C451" s="322" t="s">
        <v>2510</v>
      </c>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21" hidden="1">
      <c r="A452" s="320" t="s">
        <v>2511</v>
      </c>
      <c r="B452" s="321">
        <f>IF(B451&lt;&gt;0,IF($B$411=120,0,($B$409+CUMPRINC($B$410,$B$411,$B$409,1,120,0))*$B$412),0)</f>
        <v>0</v>
      </c>
      <c r="C452" s="322" t="s">
        <v>2512</v>
      </c>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21.5" thickBot="1">
      <c r="A453" s="315" t="s">
        <v>2513</v>
      </c>
      <c r="B453" s="323"/>
      <c r="C453" s="324" t="s">
        <v>2514</v>
      </c>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21.5" thickBot="1">
      <c r="A454" s="315" t="s">
        <v>2253</v>
      </c>
      <c r="B454" s="318">
        <f>IF(B453=0,1,IF(B434="NO",0,1))</f>
        <v>1</v>
      </c>
      <c r="C454" s="319" t="str">
        <f>IF(B454=0,"ERROR, DEBE PONER SI EN LA TERCERA PREGUNTA","ENTRADA PERMITIDA")</f>
        <v>ENTRADA PERMITIDA</v>
      </c>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21.5" thickBot="1">
      <c r="A455" s="325" t="s">
        <v>2515</v>
      </c>
      <c r="B455" s="316">
        <f>B437*B453</f>
        <v>0</v>
      </c>
      <c r="C455" s="31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21.5" thickBot="1">
      <c r="A456" s="325" t="s">
        <v>2516</v>
      </c>
      <c r="B456" s="316">
        <f>PV(B438,B439,,-B455)</f>
        <v>0</v>
      </c>
      <c r="C456" s="31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21.5" thickBot="1">
      <c r="A457" s="315" t="s">
        <v>2517</v>
      </c>
      <c r="B457" s="316" t="str">
        <f>IF(B437=0," ",IF(B433="SI",PMT(B438,B439,-B437),IF(B434="SI",PMT(B438,B439,-(B437-B456)),PMT(B438,B439,-B437))))</f>
        <v xml:space="preserve"> </v>
      </c>
      <c r="C457" s="315" t="s">
        <v>2518</v>
      </c>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21" customHeight="1" collapsed="1" thickBot="1">
      <c r="A458" s="291"/>
      <c r="B458" s="291"/>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21.5" thickBot="1">
      <c r="A459" s="440" t="s">
        <v>2520</v>
      </c>
      <c r="B459" s="441"/>
      <c r="C459" s="442"/>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21.5" thickBot="1">
      <c r="A460" s="313" t="s">
        <v>2479</v>
      </c>
      <c r="B460" s="313"/>
      <c r="C460" s="313" t="s">
        <v>2480</v>
      </c>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21.5" thickBot="1">
      <c r="A461" s="313" t="s">
        <v>2481</v>
      </c>
      <c r="B461" s="313"/>
      <c r="C461" s="313" t="s">
        <v>2482</v>
      </c>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21.5" thickBot="1">
      <c r="A462" s="313" t="s">
        <v>2469</v>
      </c>
      <c r="B462" s="314" t="str">
        <f>IF(B460=0," ",COUNTIF(B460:B461,"SI"))</f>
        <v xml:space="preserve"> </v>
      </c>
      <c r="C462" s="314" t="str">
        <f>IF(B462&gt;1,"ERROR, DEBE TENER EN TODAS NO O SÓLO EN ALGUNA UN SI","ENTRADA PERMITIDA")</f>
        <v>ERROR, DEBE TENER EN TODAS NO O SÓLO EN ALGUNA UN SI</v>
      </c>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21" customHeight="1" collapsed="1" thickBot="1">
      <c r="A463" s="291"/>
      <c r="B463" s="291"/>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21.5" thickBot="1">
      <c r="A464" s="315" t="s">
        <v>2483</v>
      </c>
      <c r="B464" s="316"/>
      <c r="C464" s="315" t="s">
        <v>2484</v>
      </c>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21.5" thickBot="1">
      <c r="A465" s="315" t="s">
        <v>2485</v>
      </c>
      <c r="B465" s="317"/>
      <c r="C465" s="315" t="s">
        <v>2486</v>
      </c>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21.5" thickBot="1">
      <c r="A466" s="326" t="s">
        <v>2487</v>
      </c>
      <c r="B466" s="316"/>
      <c r="C466" s="315" t="s">
        <v>2488</v>
      </c>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21.5" thickBot="1">
      <c r="A467" s="315" t="s">
        <v>2489</v>
      </c>
      <c r="B467" s="317"/>
      <c r="C467" s="315" t="s">
        <v>2490</v>
      </c>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21.5" thickBot="1">
      <c r="A468" s="315" t="s">
        <v>2253</v>
      </c>
      <c r="B468" s="318">
        <f>IF(B467=0,1,IF(B460="NO",0,1))</f>
        <v>1</v>
      </c>
      <c r="C468" s="319" t="str">
        <f>IF(B468=0,"ERROR, DEBE PONER SI EN LA PRIMERA PREGUNTA","ENTRADA PERMITIDA")</f>
        <v>ENTRADA PERMITIDA</v>
      </c>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21" hidden="1">
      <c r="A469" s="320" t="s">
        <v>2491</v>
      </c>
      <c r="B469" s="321">
        <f>B464*B467</f>
        <v>0</v>
      </c>
      <c r="C469" s="322" t="s">
        <v>2492</v>
      </c>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21" hidden="1">
      <c r="A470" s="320" t="s">
        <v>2493</v>
      </c>
      <c r="B470" s="321">
        <f>IF(B469&lt;&gt;0,IF($B$411=12,0,($B$409+CUMPRINC($B$410,$B$411,$B$409,1,12,0))*$B$412),0)</f>
        <v>0</v>
      </c>
      <c r="C470" s="322" t="s">
        <v>2494</v>
      </c>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21" hidden="1">
      <c r="A471" s="320" t="s">
        <v>2495</v>
      </c>
      <c r="B471" s="321">
        <f>IF(B470&lt;&gt;0,IF($B$411=24,0,($B$409+CUMPRINC($B$410,$B$411,$B$409,1,24,0))*$B$412),0)</f>
        <v>0</v>
      </c>
      <c r="C471" s="322" t="s">
        <v>2496</v>
      </c>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21" hidden="1">
      <c r="A472" s="320" t="s">
        <v>2497</v>
      </c>
      <c r="B472" s="321">
        <f>IF(B471&lt;&gt;0,IF($B$411=36,0,($B$409+CUMPRINC($B$410,$B$411,$B$409,1,36,0))*$B$412),0)</f>
        <v>0</v>
      </c>
      <c r="C472" s="322" t="s">
        <v>2498</v>
      </c>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21" hidden="1">
      <c r="A473" s="320" t="s">
        <v>2499</v>
      </c>
      <c r="B473" s="321">
        <f>IF(B472&lt;&gt;0,IF($B$411=48,0,($B$409+CUMPRINC($B$410,$B$411,$B$409,1,48,0))*$B$412),0)</f>
        <v>0</v>
      </c>
      <c r="C473" s="322" t="s">
        <v>2500</v>
      </c>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21" hidden="1">
      <c r="A474" s="320" t="s">
        <v>2501</v>
      </c>
      <c r="B474" s="321">
        <f>IF(B473&lt;&gt;0,IF($B$411=60,0,($B$409+CUMPRINC($B$410,$B$411,$B$409,1,60,0))*$B$412),0)</f>
        <v>0</v>
      </c>
      <c r="C474" s="322" t="s">
        <v>2502</v>
      </c>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21" hidden="1">
      <c r="A475" s="320" t="s">
        <v>2503</v>
      </c>
      <c r="B475" s="321">
        <f>IF(B474&lt;&gt;0,IF($B$411=72,0,($B$409+CUMPRINC($B$410,$B$411,$B$409,1,72,0))*$B$412),0)</f>
        <v>0</v>
      </c>
      <c r="C475" s="322" t="s">
        <v>2504</v>
      </c>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21" hidden="1">
      <c r="A476" s="320" t="s">
        <v>2505</v>
      </c>
      <c r="B476" s="321">
        <f>IF(B475&lt;&gt;0,IF($B$411=84,0,($B$409+CUMPRINC($B$410,$B$411,$B$409,1,84,0))*$B$412),0)</f>
        <v>0</v>
      </c>
      <c r="C476" s="322" t="s">
        <v>2506</v>
      </c>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21" hidden="1">
      <c r="A477" s="320" t="s">
        <v>2507</v>
      </c>
      <c r="B477" s="321">
        <f>IF(B476&lt;&gt;0,IF($B$411=96,0,($B$409+CUMPRINC($B$410,$B$411,$B$409,1,96,0))*$B$412),0)</f>
        <v>0</v>
      </c>
      <c r="C477" s="322" t="s">
        <v>2508</v>
      </c>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21" hidden="1">
      <c r="A478" s="320" t="s">
        <v>2509</v>
      </c>
      <c r="B478" s="321">
        <f>IF(B477&lt;&gt;0,IF($B$411=108,0,($B$409+CUMPRINC($B$410,$B$411,$B$409,1,108,0))*$B$412),0)</f>
        <v>0</v>
      </c>
      <c r="C478" s="322" t="s">
        <v>2510</v>
      </c>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21" hidden="1">
      <c r="A479" s="320" t="s">
        <v>2511</v>
      </c>
      <c r="B479" s="321">
        <f>IF(B478&lt;&gt;0,IF($B$411=120,0,($B$409+CUMPRINC($B$410,$B$411,$B$409,1,120,0))*$B$412),0)</f>
        <v>0</v>
      </c>
      <c r="C479" s="322" t="s">
        <v>2512</v>
      </c>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21.5" thickBot="1">
      <c r="A480" s="315" t="s">
        <v>2513</v>
      </c>
      <c r="B480" s="323"/>
      <c r="C480" s="324" t="s">
        <v>2514</v>
      </c>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21.5" thickBot="1">
      <c r="A481" s="315" t="s">
        <v>2253</v>
      </c>
      <c r="B481" s="318">
        <f>IF(B480=0,1,IF(B461="NO",0,1))</f>
        <v>1</v>
      </c>
      <c r="C481" s="319" t="str">
        <f>IF(B481=0,"ERROR, DEBE PONER SI EN LA TERCERA PREGUNTA","ENTRADA PERMITIDA")</f>
        <v>ENTRADA PERMITIDA</v>
      </c>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21.5" thickBot="1">
      <c r="A482" s="325" t="s">
        <v>2515</v>
      </c>
      <c r="B482" s="316">
        <f>B464*B480</f>
        <v>0</v>
      </c>
      <c r="C482" s="31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21.5" thickBot="1">
      <c r="A483" s="325" t="s">
        <v>2516</v>
      </c>
      <c r="B483" s="316">
        <f>PV(B465,B466,,-B482)</f>
        <v>0</v>
      </c>
      <c r="C483" s="31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21.5" thickBot="1">
      <c r="A484" s="315" t="s">
        <v>2517</v>
      </c>
      <c r="B484" s="316" t="str">
        <f>IF(B464=0," ",IF(B460="SI",PMT(B465,B466,-B464),IF(B461="SI",PMT(B465,B466,-(B464-B483)),PMT(B465,B466,-B464))))</f>
        <v xml:space="preserve"> </v>
      </c>
      <c r="C484" s="315" t="s">
        <v>2518</v>
      </c>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s="79" customFormat="1" ht="21">
      <c r="A485" s="291"/>
      <c r="B485" s="327"/>
      <c r="C485" s="291"/>
    </row>
    <row r="486" spans="1:26" s="79" customFormat="1" ht="21">
      <c r="A486" s="291"/>
      <c r="B486" s="327"/>
      <c r="C486" s="291"/>
    </row>
    <row r="487" spans="1:26" ht="21" customHeight="1" collapsed="1">
      <c r="A487" s="291"/>
      <c r="B487" s="291"/>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sheetData>
  <mergeCells count="49">
    <mergeCell ref="A84:A88"/>
    <mergeCell ref="A4:D4"/>
    <mergeCell ref="A27:B27"/>
    <mergeCell ref="A41:B41"/>
    <mergeCell ref="A5:D5"/>
    <mergeCell ref="A8:B8"/>
    <mergeCell ref="A73:B73"/>
    <mergeCell ref="A6:D6"/>
    <mergeCell ref="A142:F142"/>
    <mergeCell ref="A191:B191"/>
    <mergeCell ref="A167:B167"/>
    <mergeCell ref="A204:B204"/>
    <mergeCell ref="A214:B214"/>
    <mergeCell ref="A205:B207"/>
    <mergeCell ref="A209:B209"/>
    <mergeCell ref="A210:B210"/>
    <mergeCell ref="A212:B212"/>
    <mergeCell ref="A394:B394"/>
    <mergeCell ref="A403:C403"/>
    <mergeCell ref="A431:C431"/>
    <mergeCell ref="A459:C459"/>
    <mergeCell ref="A69:B69"/>
    <mergeCell ref="A395:B395"/>
    <mergeCell ref="A396:B396"/>
    <mergeCell ref="A397:B397"/>
    <mergeCell ref="A398:B398"/>
    <mergeCell ref="A399:B399"/>
    <mergeCell ref="A400:B400"/>
    <mergeCell ref="A401:B401"/>
    <mergeCell ref="A211:B211"/>
    <mergeCell ref="A392:B392"/>
    <mergeCell ref="A199:B202"/>
    <mergeCell ref="A335:B335"/>
    <mergeCell ref="A376:B376"/>
    <mergeCell ref="A1:C2"/>
    <mergeCell ref="A96:B96"/>
    <mergeCell ref="A159:B159"/>
    <mergeCell ref="A161:B161"/>
    <mergeCell ref="A350:B350"/>
    <mergeCell ref="A319:B319"/>
    <mergeCell ref="A309:B309"/>
    <mergeCell ref="A223:B223"/>
    <mergeCell ref="A237:B237"/>
    <mergeCell ref="A254:B254"/>
    <mergeCell ref="A263:B263"/>
    <mergeCell ref="A273:B273"/>
    <mergeCell ref="A293:B293"/>
    <mergeCell ref="A292:B292"/>
    <mergeCell ref="A110:B110"/>
  </mergeCells>
  <phoneticPr fontId="14" type="noConversion"/>
  <dataValidations count="1">
    <dataValidation type="list" allowBlank="1" showInputMessage="1" showErrorMessage="1" sqref="B12" xr:uid="{BECA156C-73A8-4038-AFC5-37E5C12E156F}">
      <formula1>INDIRECT($B$10)</formula1>
    </dataValidation>
  </dataValidations>
  <hyperlinks>
    <hyperlink ref="A209" r:id="rId1" xr:uid="{905D7AF3-59B1-436A-A1BD-70A033ECB289}"/>
    <hyperlink ref="A210" r:id="rId2" xr:uid="{1FEDCE80-0121-4443-B39B-7E8FAB8C80B5}"/>
    <hyperlink ref="A211" r:id="rId3" xr:uid="{AF2E1745-1263-4619-B23F-CD93684D20D2}"/>
    <hyperlink ref="A212" r:id="rId4" xr:uid="{EE270714-28D3-48D7-9CBE-2F361CC406CE}"/>
  </hyperlinks>
  <pageMargins left="0.7" right="0.7" top="0.75" bottom="0.75" header="0.3" footer="0.3"/>
  <drawing r:id="rId5"/>
  <legacyDrawing r:id="rId6"/>
  <extLst>
    <ext xmlns:x14="http://schemas.microsoft.com/office/spreadsheetml/2009/9/main" uri="{78C0D931-6437-407d-A8EE-F0AAD7539E65}">
      <x14:conditionalFormattings>
        <x14:conditionalFormatting xmlns:xm="http://schemas.microsoft.com/office/excel/2006/main">
          <x14:cfRule type="iconSet" priority="1" id="{7464A6A9-4BB8-4783-811F-AB1A0D02A437}">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B390</xm:sqref>
        </x14:conditionalFormatting>
        <x14:conditionalFormatting xmlns:xm="http://schemas.microsoft.com/office/excel/2006/main">
          <x14:cfRule type="iconSet" priority="20" id="{33D62F9E-7ED3-4151-BA85-5FF333AF7451}">
            <x14:iconSet iconSet="3Symbols2" showValue="0" custom="1">
              <x14:cfvo type="percent">
                <xm:f>0</xm:f>
              </x14:cfvo>
              <x14:cfvo type="num">
                <xm:f>0</xm:f>
              </x14:cfvo>
              <x14:cfvo type="num">
                <xm:f>2</xm:f>
              </x14:cfvo>
              <x14:cfIcon iconSet="NoIcons" iconId="0"/>
              <x14:cfIcon iconSet="3Symbols2" iconId="2"/>
              <x14:cfIcon iconSet="3Symbols2" iconId="0"/>
            </x14:iconSet>
          </x14:cfRule>
          <xm:sqref>B407</xm:sqref>
        </x14:conditionalFormatting>
        <x14:conditionalFormatting xmlns:xm="http://schemas.microsoft.com/office/excel/2006/main">
          <x14:cfRule type="iconSet" priority="19" id="{40FA7EB9-F2FE-4D6D-AB4C-0D8C25888184}">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B413</xm:sqref>
        </x14:conditionalFormatting>
        <x14:conditionalFormatting xmlns:xm="http://schemas.microsoft.com/office/excel/2006/main">
          <x14:cfRule type="iconSet" priority="18" id="{35895CC3-2F94-44E5-92B5-7D9F81D87F33}">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B426</xm:sqref>
        </x14:conditionalFormatting>
        <x14:conditionalFormatting xmlns:xm="http://schemas.microsoft.com/office/excel/2006/main">
          <x14:cfRule type="iconSet" priority="8" id="{0082D6A7-1A13-4A74-BDF6-4FDD95C71677}">
            <x14:iconSet iconSet="3Symbols2" showValue="0" custom="1">
              <x14:cfvo type="percent">
                <xm:f>0</xm:f>
              </x14:cfvo>
              <x14:cfvo type="num">
                <xm:f>0</xm:f>
              </x14:cfvo>
              <x14:cfvo type="num">
                <xm:f>2</xm:f>
              </x14:cfvo>
              <x14:cfIcon iconSet="NoIcons" iconId="0"/>
              <x14:cfIcon iconSet="3Symbols2" iconId="2"/>
              <x14:cfIcon iconSet="3Symbols2" iconId="0"/>
            </x14:iconSet>
          </x14:cfRule>
          <xm:sqref>B435</xm:sqref>
        </x14:conditionalFormatting>
        <x14:conditionalFormatting xmlns:xm="http://schemas.microsoft.com/office/excel/2006/main">
          <x14:cfRule type="iconSet" priority="7" id="{BB1E7ED8-2716-455A-922F-6889D9FE81B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B441</xm:sqref>
        </x14:conditionalFormatting>
        <x14:conditionalFormatting xmlns:xm="http://schemas.microsoft.com/office/excel/2006/main">
          <x14:cfRule type="iconSet" priority="6" id="{7B4606AB-D935-4F78-AFCA-9A7FBF59C93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B454</xm:sqref>
        </x14:conditionalFormatting>
        <x14:conditionalFormatting xmlns:xm="http://schemas.microsoft.com/office/excel/2006/main">
          <x14:cfRule type="iconSet" priority="4" id="{00287DC3-F2E4-41A7-9161-626036454714}">
            <x14:iconSet iconSet="3Symbols2" showValue="0" custom="1">
              <x14:cfvo type="percent">
                <xm:f>0</xm:f>
              </x14:cfvo>
              <x14:cfvo type="num">
                <xm:f>0</xm:f>
              </x14:cfvo>
              <x14:cfvo type="num">
                <xm:f>2</xm:f>
              </x14:cfvo>
              <x14:cfIcon iconSet="NoIcons" iconId="0"/>
              <x14:cfIcon iconSet="3Symbols2" iconId="2"/>
              <x14:cfIcon iconSet="3Symbols2" iconId="0"/>
            </x14:iconSet>
          </x14:cfRule>
          <xm:sqref>B462</xm:sqref>
        </x14:conditionalFormatting>
        <x14:conditionalFormatting xmlns:xm="http://schemas.microsoft.com/office/excel/2006/main">
          <x14:cfRule type="iconSet" priority="3" id="{CB1D777E-ABE3-4857-BCBC-2BD0914E3851}">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B468</xm:sqref>
        </x14:conditionalFormatting>
        <x14:conditionalFormatting xmlns:xm="http://schemas.microsoft.com/office/excel/2006/main">
          <x14:cfRule type="iconSet" priority="2" id="{DD96A659-E8D2-436C-9073-25E05E393AC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B481</xm:sqref>
        </x14:conditionalFormatting>
        <x14:conditionalFormatting xmlns:xm="http://schemas.microsoft.com/office/excel/2006/main">
          <x14:cfRule type="iconSet" priority="22" id="{76D08987-333F-427A-943D-05C6F58B663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C85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4FA7BE8E-462D-4904-AB75-9EB6A924867B}">
          <x14:formula1>
            <xm:f>MUNICIPIOS!$A$4:$A$36</xm:f>
          </x14:formula1>
          <xm:sqref>B10</xm:sqref>
        </x14:dataValidation>
        <x14:dataValidation type="list" allowBlank="1" showInputMessage="1" showErrorMessage="1" xr:uid="{0C422D37-3422-4D78-A773-439372311BE9}">
          <x14:formula1>
            <xm:f>'LISTAS DESPLEGABLES'!$F$2:$F$7</xm:f>
          </x14:formula1>
          <xm:sqref>B80</xm:sqref>
        </x14:dataValidation>
        <x14:dataValidation type="list" allowBlank="1" showInputMessage="1" showErrorMessage="1" xr:uid="{FD6C99B9-20BA-4BFF-A44E-9949193D90BF}">
          <x14:formula1>
            <xm:f>'LISTAS DESPLEGABLES'!$G$2:$G$4</xm:f>
          </x14:formula1>
          <xm:sqref>B90</xm:sqref>
        </x14:dataValidation>
        <x14:dataValidation type="list" allowBlank="1" showInputMessage="1" showErrorMessage="1" xr:uid="{71CBEDBD-5960-47DC-8303-E4DB4F62075A}">
          <x14:formula1>
            <xm:f>'LISTAS DESPLEGABLES'!$H$2:$H$3</xm:f>
          </x14:formula1>
          <xm:sqref>B405:B406 B433:B434 B460:B461 B45 B47 B49 B51 B53 B55 B57 B59 B61 B63 B65 B67</xm:sqref>
        </x14:dataValidation>
        <x14:dataValidation type="list" allowBlank="1" showInputMessage="1" showErrorMessage="1" xr:uid="{6C272391-EF3C-413E-A2B4-8F3946B78EFA}">
          <x14:formula1>
            <xm:f>'LISTAS DESPLEGABLES'!$I$2:$I$3</xm:f>
          </x14:formula1>
          <xm:sqref>B71</xm:sqref>
        </x14:dataValidation>
        <x14:dataValidation type="list" allowBlank="1" showInputMessage="1" showErrorMessage="1" xr:uid="{119322D1-A623-4CB7-AE09-ABA229FA724F}">
          <x14:formula1>
            <xm:f>'LISTAS DESPLEGABLES'!$A$2:$A$5</xm:f>
          </x14:formula1>
          <xm:sqref>B15</xm:sqref>
        </x14:dataValidation>
        <x14:dataValidation type="list" allowBlank="1" showInputMessage="1" showErrorMessage="1" xr:uid="{1FD25476-99A8-4DB2-BF36-0E2FB7B4033A}">
          <x14:formula1>
            <xm:f>'LISTAS DESPLEGABLES'!$B$2:$B$3</xm:f>
          </x14:formula1>
          <xm:sqref>B17</xm:sqref>
        </x14:dataValidation>
        <x14:dataValidation type="list" allowBlank="1" showInputMessage="1" showErrorMessage="1" xr:uid="{01766C37-8F7F-4C18-96B1-9DB8B0623E47}">
          <x14:formula1>
            <xm:f>'LISTAS DESPLEGABLES'!$C$2:$C$4</xm:f>
          </x14:formula1>
          <xm:sqref>B19</xm:sqref>
        </x14:dataValidation>
        <x14:dataValidation type="list" allowBlank="1" showInputMessage="1" showErrorMessage="1" xr:uid="{7D110339-B008-4E8C-8197-ED47DE6DA4D7}">
          <x14:formula1>
            <xm:f>'LISTAS DESPLEGABLES'!$D$2:$D$10</xm:f>
          </x14:formula1>
          <xm:sqref>B23</xm:sqref>
        </x14:dataValidation>
        <x14:dataValidation type="list" allowBlank="1" showInputMessage="1" showErrorMessage="1" xr:uid="{7A4C5763-C44E-4658-9318-45C103A5E6A7}">
          <x14:formula1>
            <xm:f>'LISTAS DESPLEGABLES'!$E$2:$E$5</xm:f>
          </x14:formula1>
          <xm:sqref>B25</xm:sqref>
        </x14:dataValidation>
        <x14:dataValidation type="list" allowBlank="1" showInputMessage="1" showErrorMessage="1" xr:uid="{ABC4F5AF-E3A0-46C5-B81C-224AD947734F}">
          <x14:formula1>
            <xm:f>'LISTAS DESPLEGABLES'!$J$2:$J$12</xm:f>
          </x14:formula1>
          <xm:sqref>B43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E7524-3249-40AD-B7DC-D723FE713A6D}">
  <dimension ref="A1:Q32"/>
  <sheetViews>
    <sheetView showGridLines="0" showRowColHeaders="0" zoomScaleNormal="100" workbookViewId="0">
      <selection sqref="A1:P2"/>
    </sheetView>
  </sheetViews>
  <sheetFormatPr baseColWidth="10" defaultColWidth="11.453125" defaultRowHeight="14.5"/>
  <cols>
    <col min="1" max="1" width="16.81640625" bestFit="1" customWidth="1"/>
    <col min="2" max="12" width="14" customWidth="1"/>
    <col min="13" max="13" width="0.81640625" customWidth="1"/>
  </cols>
  <sheetData>
    <row r="1" spans="1:17">
      <c r="A1" s="401" t="s">
        <v>2780</v>
      </c>
      <c r="B1" s="402"/>
      <c r="C1" s="402"/>
      <c r="D1" s="402"/>
      <c r="E1" s="402"/>
      <c r="F1" s="402"/>
      <c r="G1" s="402"/>
      <c r="H1" s="402"/>
      <c r="I1" s="402"/>
      <c r="J1" s="402"/>
      <c r="K1" s="402"/>
      <c r="L1" s="402"/>
      <c r="M1" s="402"/>
      <c r="N1" s="402"/>
      <c r="O1" s="402"/>
      <c r="P1" s="403"/>
      <c r="Q1" s="79"/>
    </row>
    <row r="2" spans="1:17" ht="15" thickBot="1">
      <c r="A2" s="404"/>
      <c r="B2" s="405"/>
      <c r="C2" s="405"/>
      <c r="D2" s="405"/>
      <c r="E2" s="405"/>
      <c r="F2" s="405"/>
      <c r="G2" s="405"/>
      <c r="H2" s="405"/>
      <c r="I2" s="405"/>
      <c r="J2" s="405"/>
      <c r="K2" s="405"/>
      <c r="L2" s="405"/>
      <c r="M2" s="405"/>
      <c r="N2" s="405"/>
      <c r="O2" s="405"/>
      <c r="P2" s="406"/>
      <c r="Q2" s="79"/>
    </row>
    <row r="3" spans="1:17" ht="15" thickBot="1">
      <c r="A3" s="79"/>
      <c r="B3" s="79"/>
      <c r="C3" s="79"/>
      <c r="D3" s="79"/>
      <c r="E3" s="79"/>
      <c r="F3" s="79"/>
      <c r="G3" s="79"/>
      <c r="H3" s="79"/>
      <c r="I3" s="79"/>
      <c r="J3" s="79"/>
      <c r="K3" s="79"/>
      <c r="L3" s="79"/>
      <c r="M3" s="79"/>
      <c r="N3" s="79"/>
      <c r="O3" s="79"/>
      <c r="P3" s="79"/>
      <c r="Q3" s="79"/>
    </row>
    <row r="4" spans="1:17">
      <c r="A4" s="245" t="s">
        <v>2589</v>
      </c>
      <c r="B4" s="246" t="s">
        <v>2590</v>
      </c>
      <c r="C4" s="246" t="s">
        <v>2265</v>
      </c>
      <c r="D4" s="246" t="s">
        <v>2266</v>
      </c>
      <c r="E4" s="246" t="s">
        <v>2267</v>
      </c>
      <c r="F4" s="246" t="s">
        <v>2268</v>
      </c>
      <c r="G4" s="246" t="s">
        <v>2269</v>
      </c>
      <c r="H4" s="246" t="s">
        <v>2270</v>
      </c>
      <c r="I4" s="246" t="s">
        <v>2271</v>
      </c>
      <c r="J4" s="246" t="s">
        <v>2272</v>
      </c>
      <c r="K4" s="246" t="s">
        <v>2273</v>
      </c>
      <c r="L4" s="247" t="s">
        <v>2274</v>
      </c>
      <c r="M4" s="79"/>
      <c r="N4" s="518" t="s">
        <v>2781</v>
      </c>
      <c r="O4" s="519"/>
      <c r="P4" s="520"/>
      <c r="Q4" s="79"/>
    </row>
    <row r="5" spans="1:17">
      <c r="A5" s="83" t="s">
        <v>2705</v>
      </c>
      <c r="B5" s="263">
        <f>CAPITAL!I6+CAPITAL!I7+CAPITAL!I8</f>
        <v>355481762.57404</v>
      </c>
      <c r="C5" s="259">
        <f t="shared" ref="C5:L5" si="0">B13</f>
        <v>142192705.029616</v>
      </c>
      <c r="D5" s="259">
        <f t="shared" si="0"/>
        <v>204000875.11825073</v>
      </c>
      <c r="E5" s="259">
        <f t="shared" si="0"/>
        <v>419511614.31322026</v>
      </c>
      <c r="F5" s="259">
        <f t="shared" si="0"/>
        <v>647024087.09887505</v>
      </c>
      <c r="G5" s="259">
        <f t="shared" si="0"/>
        <v>887044206.29318082</v>
      </c>
      <c r="H5" s="259">
        <f t="shared" si="0"/>
        <v>1140091558.4132524</v>
      </c>
      <c r="I5" s="259">
        <f t="shared" si="0"/>
        <v>1406698916.4110343</v>
      </c>
      <c r="J5" s="259">
        <f t="shared" si="0"/>
        <v>1687411620.1393828</v>
      </c>
      <c r="K5" s="259">
        <f t="shared" si="0"/>
        <v>1982786808.4629574</v>
      </c>
      <c r="L5" s="100">
        <f t="shared" si="0"/>
        <v>2293392485.3167577</v>
      </c>
      <c r="M5" s="96"/>
      <c r="N5" s="521"/>
      <c r="O5" s="522"/>
      <c r="P5" s="523"/>
      <c r="Q5" s="79"/>
    </row>
    <row r="6" spans="1:17">
      <c r="A6" s="83" t="s">
        <v>2782</v>
      </c>
      <c r="B6" s="263">
        <f>'ESTADO DE RESULTADOS'!B25</f>
        <v>0</v>
      </c>
      <c r="C6" s="263">
        <f>'ESTADO DE RESULTADOS'!C25</f>
        <v>352422092.14777768</v>
      </c>
      <c r="D6" s="263">
        <f>'ESTADO DE RESULTADOS'!D25</f>
        <v>373214995.5844965</v>
      </c>
      <c r="E6" s="263">
        <f>'ESTADO DE RESULTADOS'!E25</f>
        <v>395234680.32398176</v>
      </c>
      <c r="F6" s="263">
        <f>'ESTADO DE RESULTADOS'!F25</f>
        <v>418553526.46309674</v>
      </c>
      <c r="G6" s="263">
        <f>'ESTADO DE RESULTADOS'!G25</f>
        <v>443248184.52441943</v>
      </c>
      <c r="H6" s="263">
        <f>'ESTADO DE RESULTADOS'!H25</f>
        <v>469399827.41136003</v>
      </c>
      <c r="I6" s="263">
        <f>'ESTADO DE RESULTADOS'!I25</f>
        <v>497094417.22863024</v>
      </c>
      <c r="J6" s="263">
        <f>'ESTADO DE RESULTADOS'!J25</f>
        <v>526422987.84511948</v>
      </c>
      <c r="K6" s="263">
        <f>'ESTADO DE RESULTADOS'!K25</f>
        <v>557481944.12798154</v>
      </c>
      <c r="L6" s="84">
        <f>'ESTADO DE RESULTADOS'!L25</f>
        <v>590373378.83153236</v>
      </c>
      <c r="M6" s="257"/>
      <c r="N6" s="521"/>
      <c r="O6" s="522"/>
      <c r="P6" s="523"/>
      <c r="Q6" s="79"/>
    </row>
    <row r="7" spans="1:17">
      <c r="A7" s="83" t="s">
        <v>2783</v>
      </c>
      <c r="B7" s="259">
        <f t="shared" ref="B7:L7" si="1">B5+B6</f>
        <v>355481762.57404</v>
      </c>
      <c r="C7" s="259">
        <f t="shared" si="1"/>
        <v>494614797.17739367</v>
      </c>
      <c r="D7" s="259">
        <f t="shared" si="1"/>
        <v>577215870.70274723</v>
      </c>
      <c r="E7" s="259">
        <f t="shared" si="1"/>
        <v>814746294.63720202</v>
      </c>
      <c r="F7" s="259">
        <f t="shared" si="1"/>
        <v>1065577613.5619718</v>
      </c>
      <c r="G7" s="259">
        <f t="shared" si="1"/>
        <v>1330292390.8176003</v>
      </c>
      <c r="H7" s="259">
        <f t="shared" si="1"/>
        <v>1609491385.8246124</v>
      </c>
      <c r="I7" s="259">
        <f t="shared" si="1"/>
        <v>1903793333.6396646</v>
      </c>
      <c r="J7" s="259">
        <f t="shared" si="1"/>
        <v>2213834607.9845023</v>
      </c>
      <c r="K7" s="259">
        <f t="shared" si="1"/>
        <v>2540268752.590939</v>
      </c>
      <c r="L7" s="100">
        <f t="shared" si="1"/>
        <v>2883765864.1482902</v>
      </c>
      <c r="M7" s="96"/>
      <c r="N7" s="521"/>
      <c r="O7" s="522"/>
      <c r="P7" s="523"/>
      <c r="Q7" s="79"/>
    </row>
    <row r="8" spans="1:17">
      <c r="A8" s="83" t="s">
        <v>2591</v>
      </c>
      <c r="B8" s="263">
        <f>'ESTADO SITUACIÓN FINANCIERA'!B14</f>
        <v>213289057.544424</v>
      </c>
      <c r="C8" s="263">
        <f>FINANCIACIÓN!C5</f>
        <v>142192705.029616</v>
      </c>
      <c r="D8" s="263">
        <f>CAPITAL!D1</f>
        <v>0</v>
      </c>
      <c r="E8" s="263">
        <f>CAPITAL!E1</f>
        <v>0</v>
      </c>
      <c r="F8" s="263">
        <f>CAPITAL!F1</f>
        <v>0</v>
      </c>
      <c r="G8" s="263">
        <f>CAPITAL!G1</f>
        <v>0</v>
      </c>
      <c r="H8" s="263">
        <f>CAPITAL!H1</f>
        <v>0</v>
      </c>
      <c r="I8" s="263">
        <f>CAPITAL!I1</f>
        <v>0</v>
      </c>
      <c r="J8" s="263">
        <f>CAPITAL!J1</f>
        <v>0</v>
      </c>
      <c r="K8" s="263">
        <f>CAPITAL!K1</f>
        <v>0</v>
      </c>
      <c r="L8" s="84">
        <f>CAPITAL!L1</f>
        <v>0</v>
      </c>
      <c r="M8" s="257"/>
      <c r="N8" s="521"/>
      <c r="O8" s="522"/>
      <c r="P8" s="523"/>
      <c r="Q8" s="79"/>
    </row>
    <row r="9" spans="1:17">
      <c r="A9" s="83" t="s">
        <v>2784</v>
      </c>
      <c r="B9" s="263">
        <f>'ESTADO DE RESULTADOS'!B31</f>
        <v>0</v>
      </c>
      <c r="C9" s="263">
        <f>'ESTADO DE RESULTADOS'!C31</f>
        <v>148421217.02952692</v>
      </c>
      <c r="D9" s="263">
        <f>'ESTADO DE RESULTADOS'!D31</f>
        <v>157704256.38952693</v>
      </c>
      <c r="E9" s="263">
        <f>'ESTADO DE RESULTADOS'!E31</f>
        <v>167722207.53832695</v>
      </c>
      <c r="F9" s="263">
        <f>'ESTADO DE RESULTADOS'!F31</f>
        <v>178533407.26879093</v>
      </c>
      <c r="G9" s="263">
        <f>'ESTADO DE RESULTADOS'!G31</f>
        <v>190200832.4043479</v>
      </c>
      <c r="H9" s="263">
        <f>'ESTADO DE RESULTADOS'!H31</f>
        <v>202792469.41357797</v>
      </c>
      <c r="I9" s="263">
        <f>'ESTADO DE RESULTADOS'!I31</f>
        <v>216381713.50028187</v>
      </c>
      <c r="J9" s="263">
        <f>'ESTADO DE RESULTADOS'!J31</f>
        <v>231047799.5215449</v>
      </c>
      <c r="K9" s="263">
        <f>'ESTADO DE RESULTADOS'!K31</f>
        <v>246876267.27418151</v>
      </c>
      <c r="L9" s="84">
        <f>'ESTADO DE RESULTADOS'!L31</f>
        <v>263959463.89283228</v>
      </c>
      <c r="M9" s="257"/>
      <c r="N9" s="521"/>
      <c r="O9" s="522"/>
      <c r="P9" s="523"/>
      <c r="Q9" s="79"/>
    </row>
    <row r="10" spans="1:17">
      <c r="A10" s="83" t="s">
        <v>2785</v>
      </c>
      <c r="B10" s="263">
        <f>'ESTADO DE RESULTADOS'!B35</f>
        <v>0</v>
      </c>
      <c r="C10" s="263">
        <f>'ESTADO DE RESULTADOS'!C35+FINANCIACIÓN!F56</f>
        <v>0</v>
      </c>
      <c r="D10" s="263">
        <f>'ESTADO DE RESULTADOS'!D35+FINANCIACIÓN!G56</f>
        <v>0</v>
      </c>
      <c r="E10" s="263">
        <f>'ESTADO DE RESULTADOS'!E35+FINANCIACIÓN!H56</f>
        <v>0</v>
      </c>
      <c r="F10" s="263">
        <f>'ESTADO DE RESULTADOS'!F35+FINANCIACIÓN!I56</f>
        <v>0</v>
      </c>
      <c r="G10" s="263">
        <f>'ESTADO DE RESULTADOS'!G35+FINANCIACIÓN!J56</f>
        <v>0</v>
      </c>
      <c r="H10" s="263">
        <f>'ESTADO DE RESULTADOS'!H35+FINANCIACIÓN!K56</f>
        <v>0</v>
      </c>
      <c r="I10" s="263">
        <f>'ESTADO DE RESULTADOS'!I35+FINANCIACIÓN!L56</f>
        <v>0</v>
      </c>
      <c r="J10" s="263">
        <f>'ESTADO DE RESULTADOS'!J35+FINANCIACIÓN!M56</f>
        <v>0</v>
      </c>
      <c r="K10" s="263">
        <f>'ESTADO DE RESULTADOS'!K35+FINANCIACIÓN!N56</f>
        <v>0</v>
      </c>
      <c r="L10" s="84">
        <f>'ESTADO DE RESULTADOS'!L35+FINANCIACIÓN!O56</f>
        <v>0</v>
      </c>
      <c r="M10" s="257"/>
      <c r="N10" s="521"/>
      <c r="O10" s="522"/>
      <c r="P10" s="523"/>
      <c r="Q10" s="79"/>
    </row>
    <row r="11" spans="1:17">
      <c r="A11" s="83" t="s">
        <v>2786</v>
      </c>
      <c r="B11" s="263">
        <f>'ESTADO DE RESULTADOS'!B37</f>
        <v>0</v>
      </c>
      <c r="C11" s="263">
        <f>'ESTADO DE RESULTADOS'!C37</f>
        <v>0</v>
      </c>
      <c r="D11" s="263">
        <f>'ESTADO DE RESULTADOS'!D37</f>
        <v>0</v>
      </c>
      <c r="E11" s="263">
        <f>'ESTADO DE RESULTADOS'!E37</f>
        <v>0</v>
      </c>
      <c r="F11" s="263">
        <f>'ESTADO DE RESULTADOS'!F37</f>
        <v>0</v>
      </c>
      <c r="G11" s="263">
        <f>'ESTADO DE RESULTADOS'!G37</f>
        <v>0</v>
      </c>
      <c r="H11" s="263">
        <f>'ESTADO DE RESULTADOS'!H37</f>
        <v>0</v>
      </c>
      <c r="I11" s="263">
        <f>'ESTADO DE RESULTADOS'!I37</f>
        <v>0</v>
      </c>
      <c r="J11" s="263">
        <f>'ESTADO DE RESULTADOS'!J37</f>
        <v>0</v>
      </c>
      <c r="K11" s="263">
        <f>'ESTADO DE RESULTADOS'!K37</f>
        <v>0</v>
      </c>
      <c r="L11" s="84">
        <f>'ESTADO DE RESULTADOS'!L37</f>
        <v>0</v>
      </c>
      <c r="M11" s="257"/>
      <c r="N11" s="521"/>
      <c r="O11" s="522"/>
      <c r="P11" s="523"/>
      <c r="Q11" s="79"/>
    </row>
    <row r="12" spans="1:17">
      <c r="A12" s="83" t="s">
        <v>2787</v>
      </c>
      <c r="B12" s="259">
        <f t="shared" ref="B12:L12" si="2">SUM(B8:B11)</f>
        <v>213289057.544424</v>
      </c>
      <c r="C12" s="259">
        <f t="shared" si="2"/>
        <v>290613922.05914295</v>
      </c>
      <c r="D12" s="259">
        <f t="shared" si="2"/>
        <v>157704256.38952693</v>
      </c>
      <c r="E12" s="259">
        <f t="shared" si="2"/>
        <v>167722207.53832695</v>
      </c>
      <c r="F12" s="259">
        <f t="shared" si="2"/>
        <v>178533407.26879093</v>
      </c>
      <c r="G12" s="259">
        <f t="shared" si="2"/>
        <v>190200832.4043479</v>
      </c>
      <c r="H12" s="259">
        <f t="shared" si="2"/>
        <v>202792469.41357797</v>
      </c>
      <c r="I12" s="259">
        <f t="shared" si="2"/>
        <v>216381713.50028187</v>
      </c>
      <c r="J12" s="259">
        <f t="shared" si="2"/>
        <v>231047799.5215449</v>
      </c>
      <c r="K12" s="259">
        <f t="shared" si="2"/>
        <v>246876267.27418151</v>
      </c>
      <c r="L12" s="100">
        <f t="shared" si="2"/>
        <v>263959463.89283228</v>
      </c>
      <c r="M12" s="96"/>
      <c r="N12" s="521"/>
      <c r="O12" s="522"/>
      <c r="P12" s="523"/>
      <c r="Q12" s="79"/>
    </row>
    <row r="13" spans="1:17" ht="15" thickBot="1">
      <c r="A13" s="103" t="s">
        <v>2788</v>
      </c>
      <c r="B13" s="260">
        <f t="shared" ref="B13:L13" si="3">B7-B12</f>
        <v>142192705.029616</v>
      </c>
      <c r="C13" s="260">
        <f t="shared" si="3"/>
        <v>204000875.11825073</v>
      </c>
      <c r="D13" s="260">
        <f t="shared" si="3"/>
        <v>419511614.31322026</v>
      </c>
      <c r="E13" s="260">
        <f t="shared" si="3"/>
        <v>647024087.09887505</v>
      </c>
      <c r="F13" s="260">
        <f t="shared" si="3"/>
        <v>887044206.29318082</v>
      </c>
      <c r="G13" s="260">
        <f t="shared" si="3"/>
        <v>1140091558.4132524</v>
      </c>
      <c r="H13" s="260">
        <f t="shared" si="3"/>
        <v>1406698916.4110343</v>
      </c>
      <c r="I13" s="260">
        <f t="shared" si="3"/>
        <v>1687411620.1393828</v>
      </c>
      <c r="J13" s="260">
        <f t="shared" si="3"/>
        <v>1982786808.4629574</v>
      </c>
      <c r="K13" s="260">
        <f t="shared" si="3"/>
        <v>2293392485.3167577</v>
      </c>
      <c r="L13" s="261">
        <f t="shared" si="3"/>
        <v>2619806400.2554579</v>
      </c>
      <c r="M13" s="96"/>
      <c r="N13" s="721"/>
      <c r="O13" s="722"/>
      <c r="P13" s="723"/>
      <c r="Q13" s="79"/>
    </row>
    <row r="14" spans="1:17">
      <c r="A14" s="79"/>
      <c r="B14" s="79"/>
      <c r="C14" s="79"/>
      <c r="D14" s="79"/>
      <c r="E14" s="79"/>
      <c r="F14" s="79"/>
      <c r="G14" s="79"/>
      <c r="H14" s="79"/>
      <c r="I14" s="79"/>
      <c r="J14" s="79"/>
      <c r="K14" s="79"/>
      <c r="L14" s="79"/>
      <c r="M14" s="79"/>
      <c r="N14" s="79"/>
      <c r="O14" s="79"/>
      <c r="P14" s="79"/>
      <c r="Q14" s="79"/>
    </row>
    <row r="15" spans="1:17">
      <c r="A15" s="79"/>
      <c r="B15" s="79"/>
      <c r="C15" s="79"/>
      <c r="D15" s="79"/>
      <c r="E15" s="79"/>
      <c r="F15" s="79"/>
      <c r="G15" s="79"/>
      <c r="H15" s="79"/>
      <c r="I15" s="79"/>
      <c r="J15" s="79"/>
      <c r="K15" s="79"/>
      <c r="L15" s="79"/>
      <c r="M15" s="79"/>
      <c r="N15" s="79"/>
      <c r="O15" s="79"/>
      <c r="P15" s="79"/>
      <c r="Q15" s="79"/>
    </row>
    <row r="16" spans="1:17">
      <c r="A16" s="79"/>
      <c r="B16" s="79"/>
      <c r="C16" s="79"/>
      <c r="D16" s="79"/>
      <c r="E16" s="79"/>
      <c r="F16" s="79"/>
      <c r="G16" s="79"/>
      <c r="H16" s="79"/>
      <c r="I16" s="79"/>
      <c r="J16" s="79"/>
      <c r="K16" s="79"/>
      <c r="L16" s="79"/>
      <c r="M16" s="79"/>
      <c r="N16" s="79"/>
      <c r="O16" s="79"/>
      <c r="P16" s="79"/>
      <c r="Q16" s="79"/>
    </row>
    <row r="17" spans="1:17">
      <c r="A17" s="79"/>
      <c r="B17" s="79"/>
      <c r="C17" s="79"/>
      <c r="D17" s="79"/>
      <c r="E17" s="79"/>
      <c r="F17" s="79"/>
      <c r="G17" s="79"/>
      <c r="H17" s="79"/>
      <c r="I17" s="79"/>
      <c r="J17" s="79"/>
      <c r="K17" s="79"/>
      <c r="L17" s="79"/>
      <c r="M17" s="79"/>
      <c r="N17" s="79"/>
      <c r="O17" s="79"/>
      <c r="P17" s="79"/>
      <c r="Q17" s="79"/>
    </row>
    <row r="18" spans="1:17">
      <c r="A18" s="79"/>
      <c r="B18" s="79"/>
      <c r="C18" s="79"/>
      <c r="D18" s="79"/>
      <c r="E18" s="79"/>
      <c r="F18" s="79"/>
      <c r="G18" s="79"/>
      <c r="H18" s="79"/>
      <c r="I18" s="79"/>
      <c r="J18" s="79"/>
      <c r="K18" s="79"/>
      <c r="L18" s="79"/>
      <c r="M18" s="79"/>
      <c r="N18" s="79"/>
      <c r="O18" s="79"/>
      <c r="P18" s="79"/>
      <c r="Q18" s="79"/>
    </row>
    <row r="19" spans="1:17">
      <c r="A19" s="79"/>
      <c r="B19" s="79"/>
      <c r="C19" s="79"/>
      <c r="D19" s="79"/>
      <c r="E19" s="79"/>
      <c r="F19" s="79"/>
      <c r="G19" s="79"/>
      <c r="H19" s="79"/>
      <c r="I19" s="79"/>
      <c r="J19" s="79"/>
      <c r="K19" s="79"/>
      <c r="L19" s="79"/>
      <c r="M19" s="79"/>
      <c r="N19" s="79"/>
      <c r="O19" s="79"/>
      <c r="P19" s="79"/>
      <c r="Q19" s="79"/>
    </row>
    <row r="20" spans="1:17">
      <c r="A20" s="79"/>
      <c r="B20" s="79"/>
      <c r="C20" s="79"/>
      <c r="D20" s="79"/>
      <c r="E20" s="79"/>
      <c r="F20" s="79"/>
      <c r="G20" s="79"/>
      <c r="H20" s="79"/>
      <c r="I20" s="79"/>
      <c r="J20" s="79"/>
      <c r="K20" s="79"/>
      <c r="L20" s="79"/>
      <c r="M20" s="79"/>
      <c r="N20" s="79"/>
      <c r="O20" s="79"/>
      <c r="P20" s="79"/>
      <c r="Q20" s="79"/>
    </row>
    <row r="21" spans="1:17">
      <c r="A21" s="79"/>
      <c r="B21" s="79"/>
      <c r="C21" s="79"/>
      <c r="D21" s="79"/>
      <c r="E21" s="79"/>
      <c r="F21" s="79"/>
      <c r="G21" s="79"/>
      <c r="H21" s="79"/>
      <c r="I21" s="79"/>
      <c r="J21" s="79"/>
      <c r="K21" s="79"/>
      <c r="L21" s="79"/>
      <c r="M21" s="79"/>
      <c r="N21" s="79"/>
      <c r="O21" s="79"/>
      <c r="P21" s="79"/>
      <c r="Q21" s="79"/>
    </row>
    <row r="22" spans="1:17">
      <c r="A22" s="79"/>
      <c r="B22" s="79"/>
      <c r="C22" s="79"/>
      <c r="D22" s="79"/>
      <c r="E22" s="79"/>
      <c r="F22" s="79"/>
      <c r="G22" s="79"/>
      <c r="H22" s="79"/>
      <c r="I22" s="79"/>
      <c r="J22" s="79"/>
      <c r="K22" s="79"/>
      <c r="L22" s="79"/>
      <c r="M22" s="79"/>
      <c r="N22" s="79"/>
      <c r="O22" s="79"/>
      <c r="P22" s="79"/>
      <c r="Q22" s="79"/>
    </row>
    <row r="23" spans="1:17">
      <c r="A23" s="79"/>
      <c r="B23" s="79"/>
      <c r="C23" s="79"/>
      <c r="D23" s="79"/>
      <c r="E23" s="79"/>
      <c r="F23" s="79"/>
      <c r="G23" s="79"/>
      <c r="H23" s="79"/>
      <c r="I23" s="79"/>
      <c r="J23" s="79"/>
      <c r="K23" s="79"/>
      <c r="L23" s="79"/>
      <c r="M23" s="79"/>
      <c r="N23" s="79"/>
      <c r="O23" s="79"/>
      <c r="P23" s="79"/>
      <c r="Q23" s="79"/>
    </row>
    <row r="24" spans="1:17">
      <c r="A24" s="79"/>
      <c r="B24" s="79"/>
      <c r="C24" s="79"/>
      <c r="D24" s="79"/>
      <c r="E24" s="79"/>
      <c r="F24" s="79"/>
      <c r="G24" s="79"/>
      <c r="H24" s="79"/>
      <c r="I24" s="79"/>
      <c r="J24" s="79"/>
      <c r="K24" s="79"/>
      <c r="L24" s="79"/>
      <c r="M24" s="79"/>
      <c r="N24" s="79"/>
      <c r="O24" s="79"/>
      <c r="P24" s="79"/>
      <c r="Q24" s="79"/>
    </row>
    <row r="25" spans="1:17">
      <c r="A25" s="79"/>
      <c r="B25" s="79"/>
      <c r="C25" s="79"/>
      <c r="D25" s="79"/>
      <c r="E25" s="79"/>
      <c r="F25" s="79"/>
      <c r="G25" s="79"/>
      <c r="H25" s="79"/>
      <c r="I25" s="79"/>
      <c r="J25" s="79"/>
      <c r="K25" s="79"/>
      <c r="L25" s="79"/>
      <c r="M25" s="79"/>
      <c r="N25" s="79"/>
      <c r="O25" s="79"/>
      <c r="P25" s="79"/>
      <c r="Q25" s="79"/>
    </row>
    <row r="26" spans="1:17">
      <c r="A26" s="79"/>
      <c r="B26" s="79"/>
      <c r="C26" s="79"/>
      <c r="D26" s="79"/>
      <c r="E26" s="79"/>
      <c r="F26" s="79"/>
      <c r="G26" s="79"/>
      <c r="H26" s="79"/>
      <c r="I26" s="79"/>
      <c r="J26" s="79"/>
      <c r="K26" s="79"/>
      <c r="L26" s="79"/>
      <c r="M26" s="79"/>
      <c r="N26" s="79"/>
      <c r="O26" s="79"/>
      <c r="P26" s="79"/>
      <c r="Q26" s="79"/>
    </row>
    <row r="27" spans="1:17">
      <c r="A27" s="79"/>
      <c r="B27" s="79"/>
      <c r="C27" s="79"/>
      <c r="D27" s="79"/>
      <c r="E27" s="79"/>
      <c r="F27" s="79"/>
      <c r="G27" s="79"/>
      <c r="H27" s="79"/>
      <c r="I27" s="79"/>
      <c r="J27" s="79"/>
      <c r="K27" s="79"/>
      <c r="L27" s="79"/>
      <c r="M27" s="79"/>
      <c r="N27" s="79"/>
      <c r="O27" s="79"/>
      <c r="P27" s="79"/>
      <c r="Q27" s="79"/>
    </row>
    <row r="28" spans="1:17">
      <c r="A28" s="79"/>
      <c r="B28" s="79"/>
      <c r="C28" s="79"/>
      <c r="D28" s="79"/>
      <c r="E28" s="79"/>
      <c r="F28" s="79"/>
      <c r="G28" s="79"/>
      <c r="H28" s="79"/>
      <c r="I28" s="79"/>
      <c r="J28" s="79"/>
      <c r="K28" s="79"/>
      <c r="L28" s="79"/>
      <c r="M28" s="79"/>
      <c r="N28" s="79"/>
      <c r="O28" s="79"/>
      <c r="P28" s="79"/>
      <c r="Q28" s="79"/>
    </row>
    <row r="29" spans="1:17">
      <c r="A29" s="79"/>
      <c r="B29" s="79"/>
      <c r="C29" s="79"/>
      <c r="D29" s="79"/>
      <c r="E29" s="79"/>
      <c r="F29" s="79"/>
      <c r="G29" s="79"/>
      <c r="H29" s="79"/>
      <c r="I29" s="79"/>
      <c r="J29" s="79"/>
      <c r="K29" s="79"/>
      <c r="L29" s="79"/>
      <c r="M29" s="79"/>
      <c r="N29" s="79"/>
      <c r="O29" s="79"/>
      <c r="P29" s="79"/>
      <c r="Q29" s="79"/>
    </row>
    <row r="30" spans="1:17">
      <c r="A30" s="79"/>
      <c r="B30" s="79"/>
      <c r="C30" s="79"/>
      <c r="D30" s="79"/>
      <c r="E30" s="79"/>
      <c r="F30" s="79"/>
      <c r="G30" s="79"/>
      <c r="H30" s="79"/>
      <c r="I30" s="79"/>
      <c r="J30" s="79"/>
      <c r="K30" s="79"/>
      <c r="L30" s="79"/>
      <c r="M30" s="79"/>
      <c r="N30" s="79"/>
      <c r="O30" s="79"/>
      <c r="P30" s="79"/>
      <c r="Q30" s="79"/>
    </row>
    <row r="31" spans="1:17">
      <c r="A31" s="79"/>
      <c r="B31" s="79"/>
      <c r="C31" s="79"/>
      <c r="D31" s="79"/>
      <c r="E31" s="79"/>
      <c r="F31" s="79"/>
      <c r="G31" s="79"/>
      <c r="H31" s="79"/>
      <c r="I31" s="79"/>
      <c r="J31" s="79"/>
      <c r="K31" s="79"/>
      <c r="L31" s="79"/>
      <c r="M31" s="79"/>
      <c r="N31" s="79"/>
      <c r="O31" s="79"/>
      <c r="P31" s="79"/>
      <c r="Q31" s="79"/>
    </row>
    <row r="32" spans="1:17">
      <c r="A32" s="79"/>
      <c r="B32" s="79"/>
      <c r="C32" s="79"/>
      <c r="D32" s="79"/>
      <c r="E32" s="79"/>
      <c r="F32" s="79"/>
      <c r="G32" s="79"/>
      <c r="H32" s="79"/>
      <c r="I32" s="79"/>
      <c r="J32" s="79"/>
      <c r="K32" s="79"/>
      <c r="L32" s="79"/>
      <c r="M32" s="79"/>
      <c r="N32" s="79"/>
      <c r="O32" s="79"/>
      <c r="P32" s="79"/>
      <c r="Q32" s="79"/>
    </row>
  </sheetData>
  <mergeCells count="2">
    <mergeCell ref="A1:P2"/>
    <mergeCell ref="N4:P13"/>
  </mergeCells>
  <phoneticPr fontId="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C8EC-6187-45FA-A902-BE3962208F52}">
  <dimension ref="A1:S32"/>
  <sheetViews>
    <sheetView showGridLines="0" showRowColHeaders="0" workbookViewId="0">
      <selection sqref="A1:Q2"/>
    </sheetView>
  </sheetViews>
  <sheetFormatPr baseColWidth="10" defaultColWidth="11.453125" defaultRowHeight="14.5"/>
  <cols>
    <col min="1" max="1" width="21.81640625" bestFit="1" customWidth="1"/>
    <col min="3" max="3" width="0" hidden="1" customWidth="1"/>
  </cols>
  <sheetData>
    <row r="1" spans="1:19">
      <c r="A1" s="401" t="s">
        <v>2789</v>
      </c>
      <c r="B1" s="402"/>
      <c r="C1" s="402"/>
      <c r="D1" s="402"/>
      <c r="E1" s="402"/>
      <c r="F1" s="402"/>
      <c r="G1" s="402"/>
      <c r="H1" s="402"/>
      <c r="I1" s="402"/>
      <c r="J1" s="402"/>
      <c r="K1" s="402"/>
      <c r="L1" s="402"/>
      <c r="M1" s="402"/>
      <c r="N1" s="402"/>
      <c r="O1" s="402"/>
      <c r="P1" s="402"/>
      <c r="Q1" s="403"/>
      <c r="R1" s="79"/>
      <c r="S1" s="79"/>
    </row>
    <row r="2" spans="1:19" ht="15" thickBot="1">
      <c r="A2" s="404"/>
      <c r="B2" s="405"/>
      <c r="C2" s="405"/>
      <c r="D2" s="405"/>
      <c r="E2" s="405"/>
      <c r="F2" s="405"/>
      <c r="G2" s="405"/>
      <c r="H2" s="405"/>
      <c r="I2" s="405"/>
      <c r="J2" s="405"/>
      <c r="K2" s="405"/>
      <c r="L2" s="405"/>
      <c r="M2" s="405"/>
      <c r="N2" s="405"/>
      <c r="O2" s="405"/>
      <c r="P2" s="405"/>
      <c r="Q2" s="406"/>
      <c r="R2" s="79"/>
      <c r="S2" s="79"/>
    </row>
    <row r="3" spans="1:19">
      <c r="A3" s="79"/>
      <c r="B3" s="79"/>
      <c r="C3" s="79"/>
      <c r="D3" s="79"/>
      <c r="E3" s="79"/>
      <c r="F3" s="79"/>
      <c r="G3" s="79"/>
      <c r="H3" s="79"/>
      <c r="I3" s="79"/>
      <c r="J3" s="79"/>
      <c r="K3" s="79"/>
      <c r="L3" s="79"/>
      <c r="M3" s="79"/>
      <c r="N3" s="79"/>
      <c r="O3" s="79"/>
      <c r="P3" s="79"/>
      <c r="Q3" s="79"/>
      <c r="R3" s="79"/>
      <c r="S3" s="79"/>
    </row>
    <row r="4" spans="1:19" ht="15" thickBot="1">
      <c r="A4" s="79"/>
      <c r="B4" s="79"/>
      <c r="C4" s="79"/>
      <c r="D4" s="79"/>
      <c r="E4" s="79"/>
      <c r="F4" s="79"/>
      <c r="G4" s="79"/>
      <c r="H4" s="79"/>
      <c r="I4" s="79"/>
      <c r="J4" s="79"/>
      <c r="K4" s="79"/>
      <c r="L4" s="79"/>
      <c r="M4" s="79"/>
      <c r="N4" s="79"/>
      <c r="O4" s="79"/>
      <c r="P4" s="79"/>
      <c r="Q4" s="79"/>
      <c r="R4" s="79"/>
      <c r="S4" s="79"/>
    </row>
    <row r="5" spans="1:19">
      <c r="A5" s="245" t="s">
        <v>2790</v>
      </c>
      <c r="B5" s="247" t="s">
        <v>2340</v>
      </c>
      <c r="C5" s="97" t="s">
        <v>2791</v>
      </c>
      <c r="D5" s="79"/>
      <c r="E5" s="518" t="s">
        <v>2792</v>
      </c>
      <c r="F5" s="519"/>
      <c r="G5" s="519"/>
      <c r="H5" s="519"/>
      <c r="I5" s="519"/>
      <c r="J5" s="519"/>
      <c r="K5" s="519"/>
      <c r="L5" s="519"/>
      <c r="M5" s="519"/>
      <c r="N5" s="519"/>
      <c r="O5" s="519"/>
      <c r="P5" s="520"/>
      <c r="Q5" s="79"/>
      <c r="R5" s="79"/>
      <c r="S5" s="79"/>
    </row>
    <row r="6" spans="1:19">
      <c r="A6" s="83" t="s">
        <v>2793</v>
      </c>
      <c r="B6" s="276" t="s">
        <v>2794</v>
      </c>
      <c r="C6" s="97"/>
      <c r="D6" s="79"/>
      <c r="E6" s="521"/>
      <c r="F6" s="522"/>
      <c r="G6" s="522"/>
      <c r="H6" s="522"/>
      <c r="I6" s="522"/>
      <c r="J6" s="522"/>
      <c r="K6" s="522"/>
      <c r="L6" s="522"/>
      <c r="M6" s="522"/>
      <c r="N6" s="522"/>
      <c r="O6" s="522"/>
      <c r="P6" s="523"/>
      <c r="Q6" s="79"/>
      <c r="R6" s="79"/>
      <c r="S6" s="79"/>
    </row>
    <row r="7" spans="1:19">
      <c r="A7" s="83" t="s">
        <v>2795</v>
      </c>
      <c r="B7" s="277">
        <v>5.8999999999999997E-2</v>
      </c>
      <c r="C7" s="79" t="s">
        <v>2796</v>
      </c>
      <c r="D7" s="79"/>
      <c r="E7" s="521"/>
      <c r="F7" s="522"/>
      <c r="G7" s="522"/>
      <c r="H7" s="522"/>
      <c r="I7" s="522"/>
      <c r="J7" s="522"/>
      <c r="K7" s="522"/>
      <c r="L7" s="522"/>
      <c r="M7" s="522"/>
      <c r="N7" s="522"/>
      <c r="O7" s="522"/>
      <c r="P7" s="523"/>
      <c r="Q7" s="79"/>
      <c r="R7" s="79"/>
      <c r="S7" s="79"/>
    </row>
    <row r="8" spans="1:19">
      <c r="A8" s="83" t="s">
        <v>2797</v>
      </c>
      <c r="B8" s="277">
        <v>2.1000000000000001E-2</v>
      </c>
      <c r="C8" s="79" t="s">
        <v>2798</v>
      </c>
      <c r="D8" s="79"/>
      <c r="E8" s="521"/>
      <c r="F8" s="522"/>
      <c r="G8" s="522"/>
      <c r="H8" s="522"/>
      <c r="I8" s="522"/>
      <c r="J8" s="522"/>
      <c r="K8" s="522"/>
      <c r="L8" s="522"/>
      <c r="M8" s="522"/>
      <c r="N8" s="522"/>
      <c r="O8" s="522"/>
      <c r="P8" s="523"/>
      <c r="Q8" s="79"/>
      <c r="R8" s="79"/>
      <c r="S8" s="79"/>
    </row>
    <row r="9" spans="1:19">
      <c r="A9" s="83" t="s">
        <v>2799</v>
      </c>
      <c r="B9" s="277">
        <f>B7+B8</f>
        <v>0.08</v>
      </c>
      <c r="C9" s="79" t="s">
        <v>2800</v>
      </c>
      <c r="D9" s="79"/>
      <c r="E9" s="521"/>
      <c r="F9" s="522"/>
      <c r="G9" s="522"/>
      <c r="H9" s="522"/>
      <c r="I9" s="522"/>
      <c r="J9" s="522"/>
      <c r="K9" s="522"/>
      <c r="L9" s="522"/>
      <c r="M9" s="522"/>
      <c r="N9" s="522"/>
      <c r="O9" s="522"/>
      <c r="P9" s="523"/>
      <c r="Q9" s="79"/>
      <c r="R9" s="79"/>
      <c r="S9" s="79"/>
    </row>
    <row r="10" spans="1:19">
      <c r="A10" s="83" t="s">
        <v>2801</v>
      </c>
      <c r="B10" s="277">
        <f>WACC!B17</f>
        <v>8.1284928781704249E-2</v>
      </c>
      <c r="C10" s="79" t="s">
        <v>2802</v>
      </c>
      <c r="D10" s="79"/>
      <c r="E10" s="521"/>
      <c r="F10" s="522"/>
      <c r="G10" s="522"/>
      <c r="H10" s="522"/>
      <c r="I10" s="522"/>
      <c r="J10" s="522"/>
      <c r="K10" s="522"/>
      <c r="L10" s="522"/>
      <c r="M10" s="522"/>
      <c r="N10" s="522"/>
      <c r="O10" s="522"/>
      <c r="P10" s="523"/>
      <c r="Q10" s="79"/>
      <c r="R10" s="79"/>
      <c r="S10" s="79"/>
    </row>
    <row r="11" spans="1:19">
      <c r="A11" s="83" t="s">
        <v>2803</v>
      </c>
      <c r="B11" s="277">
        <f>WACC!B10</f>
        <v>1.4611717050573514E-2</v>
      </c>
      <c r="C11" s="79"/>
      <c r="D11" s="79"/>
      <c r="E11" s="521"/>
      <c r="F11" s="522"/>
      <c r="G11" s="522"/>
      <c r="H11" s="522"/>
      <c r="I11" s="522"/>
      <c r="J11" s="522"/>
      <c r="K11" s="522"/>
      <c r="L11" s="522"/>
      <c r="M11" s="522"/>
      <c r="N11" s="522"/>
      <c r="O11" s="522"/>
      <c r="P11" s="523"/>
      <c r="Q11" s="79"/>
      <c r="R11" s="79"/>
      <c r="S11" s="79"/>
    </row>
    <row r="12" spans="1:19" ht="15" thickBot="1">
      <c r="A12" s="83" t="s">
        <v>2804</v>
      </c>
      <c r="B12" s="277">
        <f>WACC!B11</f>
        <v>0.11905219988153348</v>
      </c>
      <c r="C12" s="79"/>
      <c r="D12" s="79"/>
      <c r="E12" s="721"/>
      <c r="F12" s="722"/>
      <c r="G12" s="722"/>
      <c r="H12" s="722"/>
      <c r="I12" s="722"/>
      <c r="J12" s="722"/>
      <c r="K12" s="722"/>
      <c r="L12" s="722"/>
      <c r="M12" s="722"/>
      <c r="N12" s="722"/>
      <c r="O12" s="722"/>
      <c r="P12" s="723"/>
      <c r="Q12" s="79"/>
      <c r="R12" s="79"/>
      <c r="S12" s="79"/>
    </row>
    <row r="13" spans="1:19">
      <c r="A13" s="83" t="s">
        <v>2805</v>
      </c>
      <c r="B13" s="277">
        <f>WACC!B14</f>
        <v>2.4993979999999999E-2</v>
      </c>
      <c r="C13" s="79"/>
      <c r="D13" s="79"/>
      <c r="E13" s="79"/>
      <c r="F13" s="79"/>
      <c r="G13" s="79"/>
      <c r="H13" s="79"/>
      <c r="I13" s="79"/>
      <c r="J13" s="79"/>
      <c r="K13" s="79"/>
      <c r="L13" s="79"/>
      <c r="M13" s="79"/>
      <c r="N13" s="79"/>
      <c r="O13" s="79"/>
      <c r="P13" s="79"/>
      <c r="Q13" s="79"/>
      <c r="R13" s="79"/>
      <c r="S13" s="79"/>
    </row>
    <row r="14" spans="1:19">
      <c r="A14" s="83" t="s">
        <v>2806</v>
      </c>
      <c r="B14" s="277">
        <f>WACC!B15</f>
        <v>3.4000000000000002E-2</v>
      </c>
      <c r="C14" s="79"/>
      <c r="D14" s="79"/>
      <c r="E14" s="79"/>
      <c r="F14" s="79"/>
      <c r="G14" s="79"/>
      <c r="H14" s="79"/>
      <c r="I14" s="79"/>
      <c r="J14" s="79"/>
      <c r="K14" s="79"/>
      <c r="L14" s="79"/>
      <c r="M14" s="79"/>
      <c r="N14" s="79"/>
      <c r="O14" s="79"/>
      <c r="P14" s="79"/>
      <c r="Q14" s="79"/>
      <c r="R14" s="79"/>
      <c r="S14" s="79"/>
    </row>
    <row r="15" spans="1:19">
      <c r="A15" s="83" t="s">
        <v>2807</v>
      </c>
      <c r="B15" s="277">
        <v>0.35</v>
      </c>
      <c r="C15" s="79"/>
      <c r="D15" s="79"/>
      <c r="E15" s="79"/>
      <c r="F15" s="79"/>
      <c r="G15" s="79"/>
      <c r="H15" s="79"/>
      <c r="I15" s="79"/>
      <c r="J15" s="79"/>
      <c r="K15" s="79"/>
      <c r="L15" s="79"/>
      <c r="M15" s="79"/>
      <c r="N15" s="79"/>
      <c r="O15" s="79"/>
      <c r="P15" s="79"/>
      <c r="Q15" s="79"/>
      <c r="R15" s="79"/>
      <c r="S15" s="79"/>
    </row>
    <row r="16" spans="1:19">
      <c r="A16" s="83" t="s">
        <v>2808</v>
      </c>
      <c r="B16" s="276" t="s">
        <v>2809</v>
      </c>
      <c r="C16" s="79"/>
      <c r="D16" s="79"/>
      <c r="E16" s="79"/>
      <c r="F16" s="79"/>
      <c r="G16" s="79"/>
      <c r="H16" s="79"/>
      <c r="I16" s="79"/>
      <c r="J16" s="79"/>
      <c r="K16" s="79"/>
      <c r="L16" s="79"/>
      <c r="M16" s="79"/>
      <c r="N16" s="79"/>
      <c r="O16" s="79"/>
      <c r="P16" s="79"/>
      <c r="Q16" s="79"/>
      <c r="R16" s="79"/>
      <c r="S16" s="79"/>
    </row>
    <row r="17" spans="1:19" ht="15" thickBot="1">
      <c r="A17" s="103" t="s">
        <v>2658</v>
      </c>
      <c r="B17" s="278" t="s">
        <v>2810</v>
      </c>
      <c r="C17" s="79"/>
      <c r="D17" s="79"/>
      <c r="E17" s="79"/>
      <c r="F17" s="79"/>
      <c r="G17" s="79"/>
      <c r="H17" s="79"/>
      <c r="I17" s="79"/>
      <c r="J17" s="79"/>
      <c r="K17" s="79"/>
      <c r="L17" s="79"/>
      <c r="M17" s="79"/>
      <c r="N17" s="79"/>
      <c r="O17" s="79"/>
      <c r="P17" s="79"/>
      <c r="Q17" s="79"/>
      <c r="R17" s="79"/>
      <c r="S17" s="79"/>
    </row>
    <row r="18" spans="1:19">
      <c r="A18" s="79"/>
      <c r="B18" s="79"/>
      <c r="C18" s="79"/>
      <c r="D18" s="79"/>
      <c r="E18" s="79"/>
      <c r="F18" s="79"/>
      <c r="G18" s="79"/>
      <c r="H18" s="79"/>
      <c r="I18" s="79"/>
      <c r="J18" s="79"/>
      <c r="K18" s="79"/>
      <c r="L18" s="79"/>
      <c r="M18" s="79"/>
      <c r="N18" s="79"/>
      <c r="O18" s="79"/>
      <c r="P18" s="79"/>
      <c r="Q18" s="79"/>
      <c r="R18" s="79"/>
      <c r="S18" s="79"/>
    </row>
    <row r="19" spans="1:19">
      <c r="A19" s="79"/>
      <c r="B19" s="79"/>
      <c r="C19" s="79"/>
      <c r="D19" s="79"/>
      <c r="E19" s="79"/>
      <c r="F19" s="79"/>
      <c r="G19" s="79"/>
      <c r="H19" s="79"/>
      <c r="I19" s="79"/>
      <c r="J19" s="79"/>
      <c r="K19" s="79"/>
      <c r="L19" s="79"/>
      <c r="M19" s="79"/>
      <c r="N19" s="79"/>
      <c r="O19" s="79"/>
      <c r="P19" s="79"/>
      <c r="Q19" s="79"/>
      <c r="R19" s="79"/>
      <c r="S19" s="79"/>
    </row>
    <row r="20" spans="1:19">
      <c r="A20" s="79"/>
      <c r="B20" s="79"/>
      <c r="C20" s="79"/>
      <c r="D20" s="79"/>
      <c r="E20" s="79"/>
      <c r="F20" s="79"/>
      <c r="G20" s="79"/>
      <c r="H20" s="79"/>
      <c r="I20" s="79"/>
      <c r="J20" s="79"/>
      <c r="K20" s="79"/>
      <c r="L20" s="79"/>
      <c r="M20" s="79"/>
      <c r="N20" s="79"/>
      <c r="O20" s="79"/>
      <c r="P20" s="79"/>
      <c r="Q20" s="79"/>
      <c r="R20" s="79"/>
      <c r="S20" s="79"/>
    </row>
    <row r="21" spans="1:19">
      <c r="A21" s="79"/>
      <c r="B21" s="79"/>
      <c r="C21" s="79"/>
      <c r="D21" s="79"/>
      <c r="E21" s="79"/>
      <c r="F21" s="79"/>
      <c r="G21" s="79"/>
      <c r="H21" s="79"/>
      <c r="I21" s="79"/>
      <c r="J21" s="79"/>
      <c r="K21" s="79"/>
      <c r="L21" s="79"/>
      <c r="M21" s="79"/>
      <c r="N21" s="79"/>
      <c r="O21" s="79"/>
      <c r="P21" s="79"/>
      <c r="Q21" s="79"/>
      <c r="R21" s="79"/>
      <c r="S21" s="79"/>
    </row>
    <row r="22" spans="1:19">
      <c r="A22" s="79"/>
      <c r="B22" s="79"/>
      <c r="C22" s="79"/>
      <c r="D22" s="79"/>
      <c r="E22" s="79"/>
      <c r="F22" s="79"/>
      <c r="G22" s="79"/>
      <c r="H22" s="79"/>
      <c r="I22" s="79"/>
      <c r="J22" s="79"/>
      <c r="K22" s="79"/>
      <c r="L22" s="79"/>
      <c r="M22" s="79"/>
      <c r="N22" s="79"/>
      <c r="O22" s="79"/>
      <c r="P22" s="79"/>
      <c r="Q22" s="79"/>
      <c r="R22" s="79"/>
      <c r="S22" s="79"/>
    </row>
    <row r="23" spans="1:19" ht="15" thickBot="1">
      <c r="A23" s="79"/>
      <c r="B23" s="79"/>
      <c r="C23" s="79"/>
      <c r="D23" s="79"/>
      <c r="E23" s="79"/>
      <c r="F23" s="79"/>
      <c r="G23" s="79"/>
      <c r="H23" s="79"/>
      <c r="I23" s="79"/>
      <c r="J23" s="79"/>
      <c r="K23" s="79"/>
      <c r="L23" s="79"/>
      <c r="M23" s="79"/>
      <c r="N23" s="79"/>
      <c r="O23" s="79"/>
      <c r="P23" s="79"/>
      <c r="Q23" s="79"/>
      <c r="R23" s="79"/>
      <c r="S23" s="79"/>
    </row>
    <row r="24" spans="1:19">
      <c r="A24" s="79"/>
      <c r="B24" s="79"/>
      <c r="C24" s="79"/>
      <c r="D24" s="79"/>
      <c r="E24" s="79"/>
      <c r="F24" s="650" t="s">
        <v>2811</v>
      </c>
      <c r="G24" s="652"/>
      <c r="H24" s="79"/>
      <c r="I24" s="650" t="s">
        <v>2797</v>
      </c>
      <c r="J24" s="652"/>
      <c r="K24" s="79"/>
      <c r="L24" s="650" t="s">
        <v>2812</v>
      </c>
      <c r="M24" s="652"/>
      <c r="N24" s="79"/>
      <c r="O24" s="79"/>
      <c r="P24" s="79"/>
      <c r="Q24" s="79"/>
      <c r="R24" s="79"/>
      <c r="S24" s="79"/>
    </row>
    <row r="25" spans="1:19" ht="15" thickBot="1">
      <c r="A25" s="79"/>
      <c r="B25" s="79"/>
      <c r="C25" s="79"/>
      <c r="D25" s="79"/>
      <c r="E25" s="79"/>
      <c r="F25" s="653"/>
      <c r="G25" s="655"/>
      <c r="H25" s="79"/>
      <c r="I25" s="653"/>
      <c r="J25" s="655"/>
      <c r="K25" s="79"/>
      <c r="L25" s="653"/>
      <c r="M25" s="655"/>
      <c r="N25" s="79"/>
      <c r="O25" s="79"/>
      <c r="P25" s="79"/>
      <c r="Q25" s="79"/>
      <c r="R25" s="79"/>
      <c r="S25" s="79"/>
    </row>
    <row r="26" spans="1:19" ht="15" thickBot="1">
      <c r="A26" s="79"/>
      <c r="B26" s="79"/>
      <c r="C26" s="79"/>
      <c r="D26" s="79"/>
      <c r="E26" s="79"/>
      <c r="F26" s="79"/>
      <c r="G26" s="79"/>
      <c r="H26" s="79"/>
      <c r="I26" s="79"/>
      <c r="J26" s="79"/>
      <c r="K26" s="79"/>
      <c r="L26" s="79"/>
      <c r="M26" s="79"/>
      <c r="N26" s="79"/>
      <c r="O26" s="79"/>
      <c r="P26" s="79"/>
      <c r="Q26" s="79"/>
      <c r="R26" s="79"/>
      <c r="S26" s="79"/>
    </row>
    <row r="27" spans="1:19">
      <c r="A27" s="79"/>
      <c r="B27" s="79"/>
      <c r="C27" s="79"/>
      <c r="D27" s="79"/>
      <c r="E27" s="79"/>
      <c r="F27" s="843">
        <f>B7</f>
        <v>5.8999999999999997E-2</v>
      </c>
      <c r="G27" s="652"/>
      <c r="H27" s="79"/>
      <c r="I27" s="843">
        <f>B8</f>
        <v>2.1000000000000001E-2</v>
      </c>
      <c r="J27" s="652"/>
      <c r="K27" s="79"/>
      <c r="L27" s="843">
        <f>B10</f>
        <v>8.1284928781704249E-2</v>
      </c>
      <c r="M27" s="652"/>
      <c r="N27" s="79"/>
      <c r="O27" s="79"/>
      <c r="P27" s="79"/>
      <c r="Q27" s="79"/>
      <c r="R27" s="79"/>
      <c r="S27" s="79"/>
    </row>
    <row r="28" spans="1:19" ht="15" thickBot="1">
      <c r="A28" s="79"/>
      <c r="B28" s="79"/>
      <c r="C28" s="79"/>
      <c r="D28" s="79"/>
      <c r="E28" s="79"/>
      <c r="F28" s="653"/>
      <c r="G28" s="655"/>
      <c r="H28" s="79"/>
      <c r="I28" s="653"/>
      <c r="J28" s="655"/>
      <c r="K28" s="79"/>
      <c r="L28" s="653"/>
      <c r="M28" s="655"/>
      <c r="N28" s="79"/>
      <c r="O28" s="79"/>
      <c r="P28" s="79"/>
      <c r="Q28" s="79"/>
      <c r="R28" s="79"/>
      <c r="S28" s="79"/>
    </row>
    <row r="29" spans="1:19">
      <c r="A29" s="79"/>
      <c r="B29" s="79"/>
      <c r="C29" s="79"/>
      <c r="D29" s="79"/>
      <c r="E29" s="79"/>
      <c r="F29" s="79"/>
      <c r="G29" s="79"/>
      <c r="H29" s="79"/>
      <c r="I29" s="79"/>
      <c r="J29" s="79"/>
      <c r="K29" s="79"/>
      <c r="L29" s="79"/>
      <c r="M29" s="79"/>
      <c r="N29" s="79"/>
      <c r="O29" s="79"/>
      <c r="P29" s="79"/>
      <c r="Q29" s="79"/>
      <c r="R29" s="79"/>
      <c r="S29" s="79"/>
    </row>
    <row r="30" spans="1:19">
      <c r="A30" s="79"/>
      <c r="B30" s="79"/>
      <c r="C30" s="79"/>
      <c r="D30" s="79"/>
      <c r="E30" s="79"/>
      <c r="F30" s="79"/>
      <c r="G30" s="79"/>
      <c r="H30" s="79"/>
      <c r="I30" s="79"/>
      <c r="J30" s="79"/>
      <c r="K30" s="79"/>
      <c r="L30" s="79"/>
      <c r="M30" s="79"/>
      <c r="N30" s="79"/>
      <c r="O30" s="79"/>
      <c r="P30" s="79"/>
      <c r="Q30" s="79"/>
      <c r="R30" s="79"/>
      <c r="S30" s="79"/>
    </row>
    <row r="31" spans="1:19">
      <c r="A31" s="79"/>
      <c r="B31" s="79"/>
      <c r="C31" s="79"/>
      <c r="D31" s="79"/>
      <c r="E31" s="79"/>
      <c r="F31" s="79"/>
      <c r="G31" s="79"/>
      <c r="H31" s="79"/>
      <c r="I31" s="79"/>
      <c r="J31" s="79"/>
      <c r="K31" s="79"/>
      <c r="L31" s="79"/>
      <c r="M31" s="79"/>
      <c r="N31" s="79"/>
      <c r="O31" s="79"/>
      <c r="P31" s="79"/>
      <c r="Q31" s="79"/>
      <c r="R31" s="79"/>
      <c r="S31" s="79"/>
    </row>
    <row r="32" spans="1:19">
      <c r="A32" s="79"/>
      <c r="B32" s="79"/>
      <c r="C32" s="79"/>
      <c r="D32" s="79"/>
      <c r="E32" s="79"/>
      <c r="F32" s="79"/>
      <c r="G32" s="79"/>
      <c r="H32" s="79"/>
      <c r="I32" s="79"/>
      <c r="J32" s="79"/>
      <c r="K32" s="79"/>
      <c r="L32" s="79"/>
      <c r="M32" s="79"/>
      <c r="N32" s="79"/>
      <c r="O32" s="79"/>
      <c r="P32" s="79"/>
      <c r="Q32" s="79"/>
      <c r="R32" s="79"/>
      <c r="S32" s="79"/>
    </row>
  </sheetData>
  <mergeCells count="8">
    <mergeCell ref="F27:G28"/>
    <mergeCell ref="I27:J28"/>
    <mergeCell ref="L27:M28"/>
    <mergeCell ref="A1:Q2"/>
    <mergeCell ref="E5:P12"/>
    <mergeCell ref="F24:G25"/>
    <mergeCell ref="I24:J25"/>
    <mergeCell ref="L24:M2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9E9C8-172E-4840-8911-AA08EFE207AC}">
  <dimension ref="A1:R32"/>
  <sheetViews>
    <sheetView showGridLines="0" showRowColHeaders="0" workbookViewId="0">
      <selection sqref="A1:Q2"/>
    </sheetView>
  </sheetViews>
  <sheetFormatPr baseColWidth="10" defaultColWidth="11.453125" defaultRowHeight="14.5"/>
  <cols>
    <col min="2" max="2" width="19.26953125" bestFit="1" customWidth="1"/>
    <col min="3" max="4" width="14" customWidth="1"/>
  </cols>
  <sheetData>
    <row r="1" spans="1:18">
      <c r="A1" s="401" t="s">
        <v>2813</v>
      </c>
      <c r="B1" s="402"/>
      <c r="C1" s="402"/>
      <c r="D1" s="402"/>
      <c r="E1" s="402"/>
      <c r="F1" s="402"/>
      <c r="G1" s="402"/>
      <c r="H1" s="402"/>
      <c r="I1" s="402"/>
      <c r="J1" s="402"/>
      <c r="K1" s="402"/>
      <c r="L1" s="402"/>
      <c r="M1" s="402"/>
      <c r="N1" s="402"/>
      <c r="O1" s="402"/>
      <c r="P1" s="402"/>
      <c r="Q1" s="403"/>
      <c r="R1" s="79"/>
    </row>
    <row r="2" spans="1:18" ht="15" thickBot="1">
      <c r="A2" s="404"/>
      <c r="B2" s="405"/>
      <c r="C2" s="405"/>
      <c r="D2" s="405"/>
      <c r="E2" s="405"/>
      <c r="F2" s="405"/>
      <c r="G2" s="405"/>
      <c r="H2" s="405"/>
      <c r="I2" s="405"/>
      <c r="J2" s="405"/>
      <c r="K2" s="405"/>
      <c r="L2" s="405"/>
      <c r="M2" s="405"/>
      <c r="N2" s="405"/>
      <c r="O2" s="405"/>
      <c r="P2" s="405"/>
      <c r="Q2" s="406"/>
      <c r="R2" s="79"/>
    </row>
    <row r="3" spans="1:18" ht="15" thickBot="1">
      <c r="A3" s="79"/>
      <c r="B3" s="79"/>
      <c r="C3" s="79"/>
      <c r="D3" s="79"/>
      <c r="E3" s="79"/>
      <c r="F3" s="79"/>
      <c r="G3" s="79"/>
      <c r="H3" s="79"/>
      <c r="I3" s="79"/>
      <c r="J3" s="79"/>
      <c r="K3" s="79"/>
      <c r="L3" s="79"/>
      <c r="M3" s="79"/>
      <c r="N3" s="79"/>
      <c r="O3" s="79"/>
      <c r="P3" s="79"/>
      <c r="Q3" s="79"/>
      <c r="R3" s="79"/>
    </row>
    <row r="4" spans="1:18">
      <c r="A4" s="79"/>
      <c r="B4" s="262" t="s">
        <v>2814</v>
      </c>
      <c r="C4" s="246" t="s">
        <v>2815</v>
      </c>
      <c r="D4" s="247" t="s">
        <v>2816</v>
      </c>
      <c r="E4" s="79"/>
      <c r="F4" s="79"/>
      <c r="G4" s="79"/>
      <c r="H4" s="79"/>
      <c r="I4" s="79"/>
      <c r="J4" s="79"/>
      <c r="K4" s="79"/>
      <c r="L4" s="79"/>
      <c r="M4" s="79"/>
      <c r="N4" s="79"/>
      <c r="O4" s="79"/>
      <c r="P4" s="79"/>
      <c r="Q4" s="79"/>
      <c r="R4" s="79"/>
    </row>
    <row r="5" spans="1:18">
      <c r="A5" s="79"/>
      <c r="B5" s="83" t="str">
        <f>IF(DATOS!B149=0," ",DATOS!B149)</f>
        <v>Administrador</v>
      </c>
      <c r="C5" s="263">
        <f>IF(DATOS!C149=0," ",DATOS!C149)</f>
        <v>2000000</v>
      </c>
      <c r="D5" s="84">
        <f>IF(DATOS!F149=0," ",DATOS!F149)</f>
        <v>2979106.6666666665</v>
      </c>
      <c r="E5" s="79"/>
      <c r="F5" s="79"/>
      <c r="G5" s="79"/>
      <c r="H5" s="79"/>
      <c r="I5" s="79"/>
      <c r="J5" s="79"/>
      <c r="K5" s="79"/>
      <c r="L5" s="79"/>
      <c r="M5" s="79"/>
      <c r="N5" s="79"/>
      <c r="O5" s="79"/>
      <c r="P5" s="79"/>
      <c r="Q5" s="79"/>
      <c r="R5" s="79"/>
    </row>
    <row r="6" spans="1:18">
      <c r="A6" s="79"/>
      <c r="B6" s="83" t="str">
        <f>IF(DATOS!B150=0," ",DATOS!B150)</f>
        <v>Auxiliar</v>
      </c>
      <c r="C6" s="263">
        <f>IF(DATOS!C150=0," ",DATOS!C150)</f>
        <v>1300000</v>
      </c>
      <c r="D6" s="84">
        <f>IF(DATOS!F150=0," ",DATOS!F150)</f>
        <v>1993119.3333333333</v>
      </c>
      <c r="E6" s="79"/>
      <c r="F6" s="79"/>
      <c r="G6" s="79"/>
      <c r="H6" s="79"/>
      <c r="I6" s="79"/>
      <c r="J6" s="79"/>
      <c r="K6" s="79"/>
      <c r="L6" s="79"/>
      <c r="M6" s="79"/>
      <c r="N6" s="79"/>
      <c r="O6" s="79"/>
      <c r="P6" s="79"/>
      <c r="Q6" s="79"/>
      <c r="R6" s="79"/>
    </row>
    <row r="7" spans="1:18">
      <c r="A7" s="79"/>
      <c r="B7" s="83" t="str">
        <f>IF(DATOS!B151=0," ",DATOS!B151)</f>
        <v>Ingeniero</v>
      </c>
      <c r="C7" s="263">
        <f>IF(DATOS!C151=0," ",DATOS!C151)</f>
        <v>2000000</v>
      </c>
      <c r="D7" s="84">
        <f>IF(DATOS!F151=0," ",DATOS!F151)</f>
        <v>2979106.6666666665</v>
      </c>
      <c r="E7" s="79"/>
      <c r="F7" s="79"/>
      <c r="G7" s="79"/>
      <c r="H7" s="79"/>
      <c r="I7" s="79"/>
      <c r="J7" s="79"/>
      <c r="K7" s="79"/>
      <c r="L7" s="79"/>
      <c r="M7" s="79"/>
      <c r="N7" s="79"/>
      <c r="O7" s="79"/>
      <c r="P7" s="79"/>
      <c r="Q7" s="79"/>
      <c r="R7" s="79"/>
    </row>
    <row r="8" spans="1:18">
      <c r="A8" s="79"/>
      <c r="B8" s="83" t="str">
        <f>IF(DATOS!B152=0," ",DATOS!B152)</f>
        <v xml:space="preserve"> </v>
      </c>
      <c r="C8" s="263" t="str">
        <f>IF(DATOS!C152=0," ",DATOS!C152)</f>
        <v xml:space="preserve"> </v>
      </c>
      <c r="D8" s="84" t="str">
        <f>IF(DATOS!F152=0," ",DATOS!F152)</f>
        <v xml:space="preserve"> </v>
      </c>
      <c r="E8" s="79"/>
      <c r="F8" s="79"/>
      <c r="G8" s="79"/>
      <c r="H8" s="79"/>
      <c r="I8" s="79"/>
      <c r="J8" s="79"/>
      <c r="K8" s="79"/>
      <c r="L8" s="79"/>
      <c r="M8" s="79"/>
      <c r="N8" s="79"/>
      <c r="O8" s="79"/>
      <c r="P8" s="79"/>
      <c r="Q8" s="79"/>
      <c r="R8" s="79"/>
    </row>
    <row r="9" spans="1:18">
      <c r="A9" s="79"/>
      <c r="B9" s="83" t="str">
        <f>IF(DATOS!B153=0," ",DATOS!B153)</f>
        <v xml:space="preserve"> </v>
      </c>
      <c r="C9" s="263" t="str">
        <f>IF(DATOS!C153=0," ",DATOS!C153)</f>
        <v xml:space="preserve"> </v>
      </c>
      <c r="D9" s="84" t="str">
        <f>IF(DATOS!F153=0," ",DATOS!F153)</f>
        <v xml:space="preserve"> </v>
      </c>
      <c r="E9" s="79"/>
      <c r="F9" s="79"/>
      <c r="G9" s="79"/>
      <c r="H9" s="79"/>
      <c r="I9" s="79"/>
      <c r="J9" s="79"/>
      <c r="K9" s="79"/>
      <c r="L9" s="79"/>
      <c r="M9" s="79"/>
      <c r="N9" s="79"/>
      <c r="O9" s="79"/>
      <c r="P9" s="79"/>
      <c r="Q9" s="79"/>
      <c r="R9" s="79"/>
    </row>
    <row r="10" spans="1:18">
      <c r="A10" s="79"/>
      <c r="B10" s="83" t="str">
        <f>IF(DATOS!B154=0," ",DATOS!B154)</f>
        <v xml:space="preserve"> </v>
      </c>
      <c r="C10" s="263" t="str">
        <f>IF(DATOS!C154=0," ",DATOS!C154)</f>
        <v xml:space="preserve"> </v>
      </c>
      <c r="D10" s="84" t="str">
        <f>IF(DATOS!F154=0," ",DATOS!F154)</f>
        <v xml:space="preserve"> </v>
      </c>
      <c r="E10" s="79"/>
      <c r="F10" s="79"/>
      <c r="G10" s="79"/>
      <c r="H10" s="79"/>
      <c r="I10" s="79"/>
      <c r="J10" s="79"/>
      <c r="K10" s="79"/>
      <c r="L10" s="79"/>
      <c r="M10" s="79"/>
      <c r="N10" s="79"/>
      <c r="O10" s="79"/>
      <c r="P10" s="79"/>
      <c r="Q10" s="79"/>
      <c r="R10" s="79"/>
    </row>
    <row r="11" spans="1:18" ht="15" thickBot="1">
      <c r="A11" s="79"/>
      <c r="B11" s="83" t="str">
        <f>IF(DATOS!B155=0," ",DATOS!B155)</f>
        <v xml:space="preserve"> </v>
      </c>
      <c r="C11" s="263" t="str">
        <f>IF(DATOS!C155=0," ",DATOS!C155)</f>
        <v xml:space="preserve"> </v>
      </c>
      <c r="D11" s="84" t="str">
        <f>IF(DATOS!F155=0," ",DATOS!F155)</f>
        <v xml:space="preserve"> </v>
      </c>
      <c r="E11" s="79"/>
      <c r="F11" s="79"/>
      <c r="G11" s="79"/>
      <c r="H11" s="79"/>
      <c r="I11" s="79"/>
      <c r="J11" s="79"/>
      <c r="K11" s="79"/>
      <c r="L11" s="79"/>
      <c r="M11" s="79"/>
      <c r="N11" s="79"/>
      <c r="O11" s="79"/>
      <c r="P11" s="79"/>
      <c r="Q11" s="79"/>
      <c r="R11" s="79"/>
    </row>
    <row r="12" spans="1:18">
      <c r="A12" s="79"/>
      <c r="B12" s="83" t="str">
        <f>IF(DATOS!B156=0," ",DATOS!B156)</f>
        <v xml:space="preserve"> </v>
      </c>
      <c r="C12" s="263" t="str">
        <f>IF(DATOS!C156=0," ",DATOS!C156)</f>
        <v xml:space="preserve"> </v>
      </c>
      <c r="D12" s="84" t="str">
        <f>IF(DATOS!F156=0," ",DATOS!F156)</f>
        <v xml:space="preserve"> </v>
      </c>
      <c r="E12" s="79"/>
      <c r="F12" s="497" t="s">
        <v>2817</v>
      </c>
      <c r="G12" s="498"/>
      <c r="H12" s="79"/>
      <c r="I12" s="497" t="s">
        <v>2818</v>
      </c>
      <c r="J12" s="498"/>
      <c r="K12" s="79"/>
      <c r="L12" s="497" t="s">
        <v>2819</v>
      </c>
      <c r="M12" s="498"/>
      <c r="N12" s="79"/>
      <c r="O12" s="497" t="s">
        <v>2820</v>
      </c>
      <c r="P12" s="498"/>
      <c r="Q12" s="79"/>
      <c r="R12" s="79"/>
    </row>
    <row r="13" spans="1:18" ht="15" thickBot="1">
      <c r="A13" s="79"/>
      <c r="B13" s="83" t="str">
        <f>IF(DATOS!B157=0," ",DATOS!B157)</f>
        <v xml:space="preserve"> </v>
      </c>
      <c r="C13" s="263" t="str">
        <f>IF(DATOS!C157=0," ",DATOS!C157)</f>
        <v xml:space="preserve"> </v>
      </c>
      <c r="D13" s="84" t="str">
        <f>IF(DATOS!F157=0," ",DATOS!F157)</f>
        <v xml:space="preserve"> </v>
      </c>
      <c r="E13" s="79"/>
      <c r="F13" s="499"/>
      <c r="G13" s="500"/>
      <c r="H13" s="79"/>
      <c r="I13" s="499"/>
      <c r="J13" s="500"/>
      <c r="K13" s="79"/>
      <c r="L13" s="499"/>
      <c r="M13" s="500"/>
      <c r="N13" s="79"/>
      <c r="O13" s="499"/>
      <c r="P13" s="500"/>
      <c r="Q13" s="79"/>
      <c r="R13" s="79"/>
    </row>
    <row r="14" spans="1:18" ht="15" thickBot="1">
      <c r="A14" s="79"/>
      <c r="B14" s="103" t="str">
        <f>IF(DATOS!B158=0," ",DATOS!B158)</f>
        <v xml:space="preserve"> </v>
      </c>
      <c r="C14" s="270" t="str">
        <f>IF(DATOS!C158=0," ",DATOS!C158)</f>
        <v xml:space="preserve"> </v>
      </c>
      <c r="D14" s="258" t="str">
        <f>IF(DATOS!F158=0," ",DATOS!F158)</f>
        <v xml:space="preserve"> </v>
      </c>
      <c r="E14" s="79"/>
      <c r="F14" s="79"/>
      <c r="G14" s="79"/>
      <c r="H14" s="79"/>
      <c r="I14" s="79"/>
      <c r="J14" s="79"/>
      <c r="K14" s="79"/>
      <c r="L14" s="79"/>
      <c r="M14" s="79"/>
      <c r="N14" s="79"/>
      <c r="O14" s="79"/>
      <c r="P14" s="79"/>
      <c r="Q14" s="79"/>
      <c r="R14" s="79"/>
    </row>
    <row r="15" spans="1:18" ht="15" thickBot="1">
      <c r="A15" s="79"/>
      <c r="B15" s="279" t="s">
        <v>2290</v>
      </c>
      <c r="C15" s="280">
        <f>SUM(C5:C14)</f>
        <v>5300000</v>
      </c>
      <c r="D15" s="281">
        <f>SUM(D5:D14)</f>
        <v>7951332.666666666</v>
      </c>
      <c r="E15" s="79"/>
      <c r="F15" s="79"/>
      <c r="G15" s="79"/>
      <c r="H15" s="79"/>
      <c r="I15" s="79"/>
      <c r="J15" s="79"/>
      <c r="K15" s="79"/>
      <c r="L15" s="79"/>
      <c r="M15" s="79"/>
      <c r="N15" s="79"/>
      <c r="O15" s="79"/>
      <c r="P15" s="79"/>
      <c r="Q15" s="79"/>
      <c r="R15" s="79"/>
    </row>
    <row r="16" spans="1:18" ht="15" thickBot="1">
      <c r="A16" s="79"/>
      <c r="B16" s="79"/>
      <c r="C16" s="79"/>
      <c r="D16" s="79"/>
      <c r="E16" s="79"/>
      <c r="F16" s="79"/>
      <c r="G16" s="79"/>
      <c r="H16" s="79"/>
      <c r="I16" s="79"/>
      <c r="J16" s="79"/>
      <c r="K16" s="79"/>
      <c r="L16" s="79"/>
      <c r="M16" s="79"/>
      <c r="N16" s="79"/>
      <c r="O16" s="79"/>
      <c r="P16" s="79"/>
      <c r="Q16" s="79"/>
      <c r="R16" s="79"/>
    </row>
    <row r="17" spans="1:18">
      <c r="A17" s="79"/>
      <c r="B17" s="772" t="s">
        <v>2821</v>
      </c>
      <c r="C17" s="773"/>
      <c r="D17" s="774"/>
      <c r="E17" s="79"/>
      <c r="F17" s="79"/>
      <c r="G17" s="79"/>
      <c r="H17" s="79"/>
      <c r="I17" s="79"/>
      <c r="J17" s="79"/>
      <c r="K17" s="79"/>
      <c r="L17" s="79"/>
      <c r="M17" s="79"/>
      <c r="N17" s="79"/>
      <c r="O17" s="79"/>
      <c r="P17" s="79"/>
      <c r="Q17" s="79"/>
      <c r="R17" s="79"/>
    </row>
    <row r="18" spans="1:18">
      <c r="A18" s="79"/>
      <c r="B18" s="775"/>
      <c r="C18" s="776"/>
      <c r="D18" s="777"/>
      <c r="E18" s="79"/>
      <c r="F18" s="79"/>
      <c r="G18" s="79"/>
      <c r="H18" s="79"/>
      <c r="I18" s="79"/>
      <c r="J18" s="79"/>
      <c r="K18" s="79"/>
      <c r="L18" s="79"/>
      <c r="M18" s="79"/>
      <c r="N18" s="79"/>
      <c r="O18" s="79"/>
      <c r="P18" s="79"/>
      <c r="Q18" s="79"/>
      <c r="R18" s="79"/>
    </row>
    <row r="19" spans="1:18">
      <c r="A19" s="79"/>
      <c r="B19" s="775"/>
      <c r="C19" s="776"/>
      <c r="D19" s="777"/>
      <c r="E19" s="79"/>
      <c r="F19" s="79"/>
      <c r="G19" s="79"/>
      <c r="H19" s="79"/>
      <c r="I19" s="79"/>
      <c r="J19" s="79"/>
      <c r="K19" s="79"/>
      <c r="L19" s="79"/>
      <c r="M19" s="79"/>
      <c r="N19" s="79"/>
      <c r="O19" s="79"/>
      <c r="P19" s="79"/>
      <c r="Q19" s="79"/>
      <c r="R19" s="79"/>
    </row>
    <row r="20" spans="1:18">
      <c r="A20" s="79"/>
      <c r="B20" s="775"/>
      <c r="C20" s="776"/>
      <c r="D20" s="777"/>
      <c r="E20" s="79"/>
      <c r="F20" s="79"/>
      <c r="G20" s="79"/>
      <c r="H20" s="79"/>
      <c r="I20" s="79"/>
      <c r="J20" s="79"/>
      <c r="K20" s="79"/>
      <c r="L20" s="79"/>
      <c r="M20" s="79"/>
      <c r="N20" s="79"/>
      <c r="O20" s="79"/>
      <c r="P20" s="79"/>
      <c r="Q20" s="79"/>
      <c r="R20" s="79"/>
    </row>
    <row r="21" spans="1:18">
      <c r="A21" s="79"/>
      <c r="B21" s="775"/>
      <c r="C21" s="776"/>
      <c r="D21" s="777"/>
      <c r="E21" s="79"/>
      <c r="F21" s="79"/>
      <c r="G21" s="79"/>
      <c r="H21" s="79"/>
      <c r="I21" s="79"/>
      <c r="J21" s="79"/>
      <c r="K21" s="79"/>
      <c r="L21" s="79"/>
      <c r="M21" s="79"/>
      <c r="N21" s="79"/>
      <c r="O21" s="79"/>
      <c r="P21" s="79"/>
      <c r="Q21" s="79"/>
      <c r="R21" s="79"/>
    </row>
    <row r="22" spans="1:18">
      <c r="A22" s="79"/>
      <c r="B22" s="775"/>
      <c r="C22" s="776"/>
      <c r="D22" s="777"/>
      <c r="E22" s="79"/>
      <c r="F22" s="79"/>
      <c r="G22" s="79"/>
      <c r="H22" s="79"/>
      <c r="I22" s="79"/>
      <c r="J22" s="79"/>
      <c r="K22" s="79"/>
      <c r="L22" s="79"/>
      <c r="M22" s="79"/>
      <c r="N22" s="79"/>
      <c r="O22" s="79"/>
      <c r="P22" s="79"/>
      <c r="Q22" s="79"/>
      <c r="R22" s="79"/>
    </row>
    <row r="23" spans="1:18">
      <c r="A23" s="79"/>
      <c r="B23" s="775"/>
      <c r="C23" s="776"/>
      <c r="D23" s="777"/>
      <c r="E23" s="79"/>
      <c r="F23" s="79"/>
      <c r="G23" s="79"/>
      <c r="H23" s="79"/>
      <c r="I23" s="79"/>
      <c r="J23" s="79"/>
      <c r="K23" s="79"/>
      <c r="L23" s="79"/>
      <c r="M23" s="79"/>
      <c r="N23" s="79"/>
      <c r="O23" s="79"/>
      <c r="P23" s="79"/>
      <c r="Q23" s="79"/>
      <c r="R23" s="79"/>
    </row>
    <row r="24" spans="1:18">
      <c r="A24" s="79"/>
      <c r="B24" s="775"/>
      <c r="C24" s="776"/>
      <c r="D24" s="777"/>
      <c r="E24" s="79"/>
      <c r="F24" s="79"/>
      <c r="G24" s="79"/>
      <c r="H24" s="79"/>
      <c r="I24" s="79"/>
      <c r="J24" s="79"/>
      <c r="K24" s="79"/>
      <c r="L24" s="79"/>
      <c r="M24" s="79"/>
      <c r="N24" s="79"/>
      <c r="O24" s="79"/>
      <c r="P24" s="79"/>
      <c r="Q24" s="79"/>
      <c r="R24" s="79"/>
    </row>
    <row r="25" spans="1:18">
      <c r="A25" s="79"/>
      <c r="B25" s="775"/>
      <c r="C25" s="776"/>
      <c r="D25" s="777"/>
      <c r="E25" s="79"/>
      <c r="F25" s="79"/>
      <c r="G25" s="79"/>
      <c r="H25" s="79"/>
      <c r="I25" s="79"/>
      <c r="J25" s="79"/>
      <c r="K25" s="79"/>
      <c r="L25" s="79"/>
      <c r="M25" s="79"/>
      <c r="N25" s="79"/>
      <c r="O25" s="79"/>
      <c r="P25" s="79"/>
      <c r="Q25" s="79"/>
      <c r="R25" s="79"/>
    </row>
    <row r="26" spans="1:18">
      <c r="A26" s="79"/>
      <c r="B26" s="775"/>
      <c r="C26" s="776"/>
      <c r="D26" s="777"/>
      <c r="E26" s="79"/>
      <c r="F26" s="79"/>
      <c r="G26" s="79"/>
      <c r="H26" s="79"/>
      <c r="I26" s="79"/>
      <c r="J26" s="79"/>
      <c r="K26" s="79"/>
      <c r="L26" s="79"/>
      <c r="M26" s="79"/>
      <c r="N26" s="79"/>
      <c r="O26" s="79"/>
      <c r="P26" s="79"/>
      <c r="Q26" s="79"/>
      <c r="R26" s="79"/>
    </row>
    <row r="27" spans="1:18" ht="15" thickBot="1">
      <c r="A27" s="79"/>
      <c r="B27" s="778"/>
      <c r="C27" s="779"/>
      <c r="D27" s="780"/>
      <c r="E27" s="79"/>
      <c r="F27" s="79"/>
      <c r="G27" s="79"/>
      <c r="H27" s="79"/>
      <c r="I27" s="79"/>
      <c r="J27" s="79"/>
      <c r="K27" s="79"/>
      <c r="L27" s="79"/>
      <c r="M27" s="79"/>
      <c r="N27" s="79"/>
      <c r="O27" s="79"/>
      <c r="P27" s="79"/>
      <c r="Q27" s="79"/>
      <c r="R27" s="79"/>
    </row>
    <row r="28" spans="1:18">
      <c r="A28" s="79"/>
      <c r="B28" s="79"/>
      <c r="C28" s="79"/>
      <c r="D28" s="79"/>
      <c r="E28" s="79"/>
      <c r="F28" s="79"/>
      <c r="G28" s="79"/>
      <c r="H28" s="79"/>
      <c r="I28" s="79"/>
      <c r="J28" s="79"/>
      <c r="K28" s="79"/>
      <c r="L28" s="79"/>
      <c r="M28" s="79"/>
      <c r="N28" s="79"/>
      <c r="O28" s="79"/>
      <c r="P28" s="79"/>
      <c r="Q28" s="79"/>
      <c r="R28" s="79"/>
    </row>
    <row r="29" spans="1:18">
      <c r="A29" s="79"/>
      <c r="B29" s="79"/>
      <c r="C29" s="79"/>
      <c r="D29" s="79"/>
      <c r="E29" s="79"/>
      <c r="F29" s="79"/>
      <c r="G29" s="79"/>
      <c r="H29" s="79"/>
      <c r="I29" s="79"/>
      <c r="J29" s="79"/>
      <c r="K29" s="79"/>
      <c r="L29" s="79"/>
      <c r="M29" s="79"/>
      <c r="N29" s="79"/>
      <c r="O29" s="79"/>
      <c r="P29" s="79"/>
      <c r="Q29" s="79"/>
      <c r="R29" s="79"/>
    </row>
    <row r="30" spans="1:18">
      <c r="A30" s="79"/>
      <c r="B30" s="79"/>
      <c r="C30" s="79"/>
      <c r="D30" s="79"/>
      <c r="E30" s="79"/>
      <c r="F30" s="79"/>
      <c r="G30" s="79"/>
      <c r="H30" s="79"/>
      <c r="I30" s="79"/>
      <c r="J30" s="79"/>
      <c r="K30" s="79"/>
      <c r="L30" s="79"/>
      <c r="M30" s="79"/>
      <c r="N30" s="79"/>
      <c r="O30" s="79"/>
      <c r="P30" s="79"/>
      <c r="Q30" s="79"/>
      <c r="R30" s="79"/>
    </row>
    <row r="31" spans="1:18">
      <c r="A31" s="79"/>
      <c r="B31" s="79"/>
      <c r="C31" s="79"/>
      <c r="D31" s="79"/>
      <c r="E31" s="79"/>
      <c r="F31" s="79"/>
      <c r="G31" s="79"/>
      <c r="H31" s="79"/>
      <c r="I31" s="79"/>
      <c r="J31" s="79"/>
      <c r="K31" s="79"/>
      <c r="L31" s="79"/>
      <c r="M31" s="79"/>
      <c r="N31" s="79"/>
      <c r="O31" s="79"/>
      <c r="P31" s="79"/>
      <c r="Q31" s="79"/>
      <c r="R31" s="79"/>
    </row>
    <row r="32" spans="1:18">
      <c r="A32" s="79"/>
      <c r="B32" s="79"/>
      <c r="C32" s="79"/>
      <c r="D32" s="79"/>
      <c r="E32" s="79"/>
      <c r="F32" s="79"/>
      <c r="G32" s="79"/>
      <c r="H32" s="79"/>
      <c r="I32" s="79"/>
      <c r="J32" s="79"/>
      <c r="K32" s="79"/>
      <c r="L32" s="79"/>
      <c r="M32" s="79"/>
      <c r="N32" s="79"/>
      <c r="O32" s="79"/>
      <c r="P32" s="79"/>
      <c r="Q32" s="79"/>
      <c r="R32" s="79"/>
    </row>
  </sheetData>
  <mergeCells count="6">
    <mergeCell ref="B17:D27"/>
    <mergeCell ref="A1:Q2"/>
    <mergeCell ref="F12:G13"/>
    <mergeCell ref="I12:J13"/>
    <mergeCell ref="L12:M13"/>
    <mergeCell ref="O12:P1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A719-DFBC-41F4-95DC-5BE37E7575D2}">
  <dimension ref="A1:D186"/>
  <sheetViews>
    <sheetView topLeftCell="A160" workbookViewId="0">
      <selection activeCell="B186" sqref="B186"/>
    </sheetView>
  </sheetViews>
  <sheetFormatPr baseColWidth="10" defaultColWidth="11.54296875" defaultRowHeight="14.5"/>
  <cols>
    <col min="1" max="1" width="25.81640625" style="13" bestFit="1" customWidth="1"/>
    <col min="2" max="16384" width="11.54296875" style="13"/>
  </cols>
  <sheetData>
    <row r="1" spans="1:4">
      <c r="A1" s="11" t="s">
        <v>2822</v>
      </c>
      <c r="B1" s="12" t="s">
        <v>2823</v>
      </c>
      <c r="D1" s="13" t="s">
        <v>2824</v>
      </c>
    </row>
    <row r="2" spans="1:4">
      <c r="A2" s="14">
        <v>45087</v>
      </c>
      <c r="B2" s="15">
        <v>292.25248711879982</v>
      </c>
    </row>
    <row r="3" spans="1:4">
      <c r="A3" s="14">
        <v>45088</v>
      </c>
      <c r="B3" s="15">
        <v>281.65660769306663</v>
      </c>
    </row>
    <row r="4" spans="1:4">
      <c r="A4" s="14">
        <v>45089</v>
      </c>
      <c r="B4" s="15">
        <v>295.4695999726668</v>
      </c>
    </row>
    <row r="5" spans="1:4">
      <c r="A5" s="14">
        <v>45090</v>
      </c>
      <c r="B5" s="15">
        <v>327.83816347060014</v>
      </c>
    </row>
    <row r="6" spans="1:4">
      <c r="A6" s="14">
        <v>45091</v>
      </c>
      <c r="B6" s="15">
        <v>352.49384956129984</v>
      </c>
    </row>
    <row r="7" spans="1:4">
      <c r="A7" s="14">
        <v>45092</v>
      </c>
      <c r="B7" s="15">
        <v>362.51830678783318</v>
      </c>
    </row>
    <row r="8" spans="1:4">
      <c r="A8" s="14">
        <v>45093</v>
      </c>
      <c r="B8" s="15">
        <v>409.80567442600005</v>
      </c>
    </row>
    <row r="9" spans="1:4">
      <c r="A9" s="14">
        <v>45094</v>
      </c>
      <c r="B9" s="15">
        <v>441.2723925156667</v>
      </c>
    </row>
    <row r="10" spans="1:4">
      <c r="A10" s="14">
        <v>45095</v>
      </c>
      <c r="B10" s="15">
        <v>499.5759259751332</v>
      </c>
    </row>
    <row r="11" spans="1:4">
      <c r="A11" s="14">
        <v>45096</v>
      </c>
      <c r="B11" s="15">
        <v>568.91673884363342</v>
      </c>
    </row>
    <row r="12" spans="1:4">
      <c r="A12" s="14">
        <v>45097</v>
      </c>
      <c r="B12" s="15">
        <v>602.13006191780016</v>
      </c>
    </row>
    <row r="13" spans="1:4">
      <c r="A13" s="14">
        <v>45098</v>
      </c>
      <c r="B13" s="15">
        <v>739.87078022483331</v>
      </c>
    </row>
    <row r="14" spans="1:4">
      <c r="A14" s="14">
        <v>45099</v>
      </c>
      <c r="B14" s="15">
        <v>749.24038303303314</v>
      </c>
    </row>
    <row r="15" spans="1:4">
      <c r="A15" s="14">
        <v>45100</v>
      </c>
      <c r="B15" s="15">
        <v>847.9751094149334</v>
      </c>
    </row>
    <row r="16" spans="1:4">
      <c r="A16" s="14">
        <v>45101</v>
      </c>
      <c r="B16" s="15">
        <v>892.51177800616654</v>
      </c>
    </row>
    <row r="17" spans="1:2">
      <c r="A17" s="14">
        <v>45102</v>
      </c>
      <c r="B17" s="15">
        <v>733.1573254389333</v>
      </c>
    </row>
    <row r="18" spans="1:2">
      <c r="A18" s="14">
        <v>45103</v>
      </c>
      <c r="B18" s="15">
        <v>693.08527501103299</v>
      </c>
    </row>
    <row r="19" spans="1:2">
      <c r="A19" s="14">
        <v>45104</v>
      </c>
      <c r="B19" s="15">
        <v>602.17612679143315</v>
      </c>
    </row>
    <row r="20" spans="1:2">
      <c r="A20" s="14">
        <v>45105</v>
      </c>
      <c r="B20" s="15">
        <v>617.71233537730006</v>
      </c>
    </row>
    <row r="21" spans="1:2">
      <c r="A21" s="14">
        <v>45106</v>
      </c>
      <c r="B21" s="15">
        <v>461.76103060643345</v>
      </c>
    </row>
    <row r="22" spans="1:2">
      <c r="A22" s="14">
        <v>45107</v>
      </c>
      <c r="B22" s="15">
        <v>516.20309188283318</v>
      </c>
    </row>
    <row r="23" spans="1:2">
      <c r="A23" s="14">
        <v>45108</v>
      </c>
      <c r="B23" s="15">
        <v>545.08658846356661</v>
      </c>
    </row>
    <row r="24" spans="1:2">
      <c r="A24" s="14">
        <v>45109</v>
      </c>
      <c r="B24" s="15">
        <v>550.63818495486635</v>
      </c>
    </row>
    <row r="25" spans="1:2">
      <c r="A25" s="14">
        <v>45110</v>
      </c>
      <c r="B25" s="15">
        <v>483.31342159893347</v>
      </c>
    </row>
    <row r="26" spans="1:2">
      <c r="A26" s="14">
        <v>45111</v>
      </c>
      <c r="B26" s="15">
        <v>553.11558559150023</v>
      </c>
    </row>
    <row r="27" spans="1:2">
      <c r="A27" s="14">
        <v>45112</v>
      </c>
      <c r="B27" s="15">
        <v>607.76073027530026</v>
      </c>
    </row>
    <row r="28" spans="1:2">
      <c r="A28" s="14">
        <v>45113</v>
      </c>
      <c r="B28" s="15">
        <v>613.14896261716672</v>
      </c>
    </row>
    <row r="29" spans="1:2">
      <c r="A29" s="14">
        <v>45114</v>
      </c>
      <c r="B29" s="15">
        <v>562.24023075210016</v>
      </c>
    </row>
    <row r="30" spans="1:2">
      <c r="A30" s="14">
        <v>45115</v>
      </c>
      <c r="B30" s="15">
        <v>511.34903300383326</v>
      </c>
    </row>
    <row r="31" spans="1:2">
      <c r="A31" s="14">
        <v>45116</v>
      </c>
      <c r="B31" s="15">
        <v>443.30234516113325</v>
      </c>
    </row>
    <row r="32" spans="1:2">
      <c r="A32" s="14">
        <v>45117</v>
      </c>
      <c r="B32" s="15">
        <v>464.25265699516643</v>
      </c>
    </row>
    <row r="33" spans="1:2">
      <c r="A33" s="14">
        <v>45118</v>
      </c>
      <c r="B33" s="15">
        <v>521.09453138413357</v>
      </c>
    </row>
    <row r="34" spans="1:2">
      <c r="A34" s="14">
        <v>45119</v>
      </c>
      <c r="B34" s="15">
        <v>558.54202505459978</v>
      </c>
    </row>
    <row r="35" spans="1:2">
      <c r="A35" s="14">
        <v>45120</v>
      </c>
      <c r="B35" s="15">
        <v>623.77186781796684</v>
      </c>
    </row>
    <row r="36" spans="1:2">
      <c r="A36" s="14">
        <v>45121</v>
      </c>
      <c r="B36" s="15">
        <v>667.95760433036673</v>
      </c>
    </row>
    <row r="37" spans="1:2">
      <c r="A37" s="14">
        <v>45122</v>
      </c>
      <c r="B37" s="15">
        <v>627.7140940787998</v>
      </c>
    </row>
    <row r="38" spans="1:2">
      <c r="A38" s="14">
        <v>45123</v>
      </c>
      <c r="B38" s="15">
        <v>655.83232869879987</v>
      </c>
    </row>
    <row r="39" spans="1:2">
      <c r="A39" s="14">
        <v>45124</v>
      </c>
      <c r="B39" s="15">
        <v>608.40215617773356</v>
      </c>
    </row>
    <row r="40" spans="1:2">
      <c r="A40" s="14">
        <v>45125</v>
      </c>
      <c r="B40" s="15">
        <v>562.3176101401001</v>
      </c>
    </row>
    <row r="41" spans="1:2">
      <c r="A41" s="14">
        <v>45126</v>
      </c>
      <c r="B41" s="15">
        <v>452.62056319193329</v>
      </c>
    </row>
    <row r="42" spans="1:2">
      <c r="A42" s="14">
        <v>45127</v>
      </c>
      <c r="B42" s="15">
        <v>355.93352361419988</v>
      </c>
    </row>
    <row r="43" spans="1:2">
      <c r="A43" s="14">
        <v>45128</v>
      </c>
      <c r="B43" s="15">
        <v>448.8346671947665</v>
      </c>
    </row>
    <row r="44" spans="1:2">
      <c r="A44" s="14">
        <v>45129</v>
      </c>
      <c r="B44" s="15">
        <v>344.11803742509989</v>
      </c>
    </row>
    <row r="45" spans="1:2">
      <c r="A45" s="14">
        <v>45130</v>
      </c>
      <c r="B45" s="15">
        <v>368.96213051893324</v>
      </c>
    </row>
    <row r="46" spans="1:2">
      <c r="A46" s="14">
        <v>45131</v>
      </c>
      <c r="B46" s="15">
        <v>506.07604942983329</v>
      </c>
    </row>
    <row r="47" spans="1:2">
      <c r="A47" s="14">
        <v>45132</v>
      </c>
      <c r="B47" s="15">
        <v>501.42846599060005</v>
      </c>
    </row>
    <row r="48" spans="1:2">
      <c r="A48" s="14">
        <v>45133</v>
      </c>
      <c r="B48" s="15">
        <v>509.00940559866655</v>
      </c>
    </row>
    <row r="49" spans="1:2">
      <c r="A49" s="14">
        <v>45134</v>
      </c>
      <c r="B49" s="15">
        <v>544.10699241126645</v>
      </c>
    </row>
    <row r="50" spans="1:2">
      <c r="A50" s="14">
        <v>45135</v>
      </c>
      <c r="B50" s="15">
        <v>485.98664784563351</v>
      </c>
    </row>
    <row r="51" spans="1:2">
      <c r="A51" s="14">
        <v>45136</v>
      </c>
      <c r="B51" s="15">
        <v>497.93153455009974</v>
      </c>
    </row>
    <row r="52" spans="1:2">
      <c r="A52" s="14">
        <v>45137</v>
      </c>
      <c r="B52" s="15">
        <v>503.97630060806682</v>
      </c>
    </row>
    <row r="53" spans="1:2">
      <c r="A53" s="14">
        <v>45138</v>
      </c>
      <c r="B53" s="15">
        <v>494.33691066223338</v>
      </c>
    </row>
    <row r="54" spans="1:2">
      <c r="A54" s="14">
        <v>45139</v>
      </c>
      <c r="B54" s="15">
        <v>546.26439891419989</v>
      </c>
    </row>
    <row r="55" spans="1:2">
      <c r="A55" s="14">
        <v>45140</v>
      </c>
      <c r="B55" s="15">
        <v>551.86277343979987</v>
      </c>
    </row>
    <row r="56" spans="1:2">
      <c r="A56" s="14">
        <v>45141</v>
      </c>
      <c r="B56" s="15">
        <v>502.1059647894333</v>
      </c>
    </row>
    <row r="57" spans="1:2">
      <c r="A57" s="14">
        <v>45142</v>
      </c>
      <c r="B57" s="15">
        <v>534.08050908136693</v>
      </c>
    </row>
    <row r="58" spans="1:2">
      <c r="A58" s="14">
        <v>45143</v>
      </c>
      <c r="B58" s="15">
        <v>464.37814065926676</v>
      </c>
    </row>
    <row r="59" spans="1:2">
      <c r="A59" s="14">
        <v>45144</v>
      </c>
      <c r="B59" s="15">
        <v>492.78326403406686</v>
      </c>
    </row>
    <row r="60" spans="1:2">
      <c r="A60" s="14">
        <v>45145</v>
      </c>
      <c r="B60" s="15">
        <v>406.99277812176661</v>
      </c>
    </row>
    <row r="61" spans="1:2">
      <c r="A61" s="14">
        <v>45146</v>
      </c>
      <c r="B61" s="15">
        <v>521.04278603763339</v>
      </c>
    </row>
    <row r="62" spans="1:2">
      <c r="A62" s="14">
        <v>45147</v>
      </c>
      <c r="B62" s="15">
        <v>614.54136909860017</v>
      </c>
    </row>
    <row r="63" spans="1:2">
      <c r="A63" s="14">
        <v>45148</v>
      </c>
      <c r="B63" s="15">
        <v>670.7110726446333</v>
      </c>
    </row>
    <row r="64" spans="1:2">
      <c r="A64" s="14">
        <v>45149</v>
      </c>
      <c r="B64" s="15">
        <v>743.99043150919999</v>
      </c>
    </row>
    <row r="65" spans="1:2">
      <c r="A65" s="14">
        <v>45150</v>
      </c>
      <c r="B65" s="15">
        <v>765.13376990866652</v>
      </c>
    </row>
    <row r="66" spans="1:2">
      <c r="A66" s="14">
        <v>45151</v>
      </c>
      <c r="B66" s="15">
        <v>662.56971414726638</v>
      </c>
    </row>
    <row r="67" spans="1:2">
      <c r="A67" s="14">
        <v>45152</v>
      </c>
      <c r="B67" s="15">
        <v>648.14326143503342</v>
      </c>
    </row>
    <row r="68" spans="1:2">
      <c r="A68" s="14">
        <v>45153</v>
      </c>
      <c r="B68" s="15">
        <v>743.67282896616678</v>
      </c>
    </row>
    <row r="69" spans="1:2">
      <c r="A69" s="14">
        <v>45154</v>
      </c>
      <c r="B69" s="15">
        <v>684.7274035963336</v>
      </c>
    </row>
    <row r="70" spans="1:2">
      <c r="A70" s="14">
        <v>45155</v>
      </c>
      <c r="B70" s="15">
        <v>673.7526613701998</v>
      </c>
    </row>
    <row r="71" spans="1:2">
      <c r="A71" s="14">
        <v>45156</v>
      </c>
      <c r="B71" s="15">
        <v>721.17841014809994</v>
      </c>
    </row>
    <row r="72" spans="1:2">
      <c r="A72" s="14">
        <v>45157</v>
      </c>
      <c r="B72" s="15">
        <v>688.9808118210334</v>
      </c>
    </row>
    <row r="73" spans="1:2">
      <c r="A73" s="14">
        <v>45158</v>
      </c>
      <c r="B73" s="15">
        <v>428.88929664979997</v>
      </c>
    </row>
    <row r="74" spans="1:2">
      <c r="A74" s="14">
        <v>45159</v>
      </c>
      <c r="B74" s="15">
        <v>430.64236863550008</v>
      </c>
    </row>
    <row r="75" spans="1:2">
      <c r="A75" s="14">
        <v>45160</v>
      </c>
      <c r="B75" s="15">
        <v>333.66123063226661</v>
      </c>
    </row>
    <row r="76" spans="1:2">
      <c r="A76" s="14">
        <v>45161</v>
      </c>
      <c r="B76" s="15">
        <v>240.78889820666669</v>
      </c>
    </row>
    <row r="77" spans="1:2">
      <c r="A77" s="14">
        <v>45162</v>
      </c>
      <c r="B77" s="15">
        <v>199.34389139533334</v>
      </c>
    </row>
    <row r="78" spans="1:2">
      <c r="A78" s="14">
        <v>45163</v>
      </c>
      <c r="B78" s="15">
        <v>201.85589710969998</v>
      </c>
    </row>
    <row r="79" spans="1:2">
      <c r="A79" s="14">
        <v>45164</v>
      </c>
      <c r="B79" s="15">
        <v>244.69302358326669</v>
      </c>
    </row>
    <row r="80" spans="1:2">
      <c r="A80" s="14">
        <v>45165</v>
      </c>
      <c r="B80" s="15">
        <v>182.43355802086671</v>
      </c>
    </row>
    <row r="81" spans="1:2">
      <c r="A81" s="14">
        <v>45166</v>
      </c>
      <c r="B81" s="15">
        <v>362.47262555589992</v>
      </c>
    </row>
    <row r="82" spans="1:2">
      <c r="A82" s="14">
        <v>45167</v>
      </c>
      <c r="B82" s="15">
        <v>557.54123128990022</v>
      </c>
    </row>
    <row r="83" spans="1:2">
      <c r="A83" s="14">
        <v>45168</v>
      </c>
      <c r="B83" s="15">
        <v>752.26142607429972</v>
      </c>
    </row>
    <row r="84" spans="1:2">
      <c r="A84" s="14">
        <v>45169</v>
      </c>
      <c r="B84" s="15">
        <v>804.33842271996662</v>
      </c>
    </row>
    <row r="85" spans="1:2">
      <c r="A85" s="14">
        <v>45170</v>
      </c>
      <c r="B85" s="15">
        <v>838.61339552493303</v>
      </c>
    </row>
    <row r="86" spans="1:2">
      <c r="A86" s="14">
        <v>45171</v>
      </c>
      <c r="B86" s="15">
        <v>893.49481884570025</v>
      </c>
    </row>
    <row r="87" spans="1:2">
      <c r="A87" s="14">
        <v>45172</v>
      </c>
      <c r="B87" s="15">
        <v>933.41670530420004</v>
      </c>
    </row>
    <row r="88" spans="1:2">
      <c r="A88" s="14">
        <v>45173</v>
      </c>
      <c r="B88" s="15">
        <v>965.35956086850013</v>
      </c>
    </row>
    <row r="89" spans="1:2">
      <c r="A89" s="14">
        <v>45174</v>
      </c>
      <c r="B89" s="15">
        <v>979.85036377899996</v>
      </c>
    </row>
    <row r="90" spans="1:2">
      <c r="A90" s="14">
        <v>45175</v>
      </c>
      <c r="B90" s="15">
        <v>938.75526230899959</v>
      </c>
    </row>
    <row r="91" spans="1:2">
      <c r="A91" s="14">
        <v>45176</v>
      </c>
      <c r="B91" s="15">
        <v>1002.3604706229662</v>
      </c>
    </row>
    <row r="92" spans="1:2">
      <c r="A92" s="14">
        <v>45177</v>
      </c>
      <c r="B92" s="15">
        <v>1020.0866442018333</v>
      </c>
    </row>
    <row r="93" spans="1:2">
      <c r="A93" s="14">
        <v>45178</v>
      </c>
      <c r="B93" s="15">
        <v>1042.3762275351669</v>
      </c>
    </row>
    <row r="94" spans="1:2">
      <c r="A94" s="14">
        <v>45179</v>
      </c>
      <c r="B94" s="15">
        <v>1040.1945608685003</v>
      </c>
    </row>
    <row r="95" spans="1:2">
      <c r="A95" s="14">
        <v>45180</v>
      </c>
      <c r="B95" s="15">
        <v>1056.0383525351663</v>
      </c>
    </row>
    <row r="96" spans="1:2">
      <c r="A96" s="14">
        <v>45181</v>
      </c>
      <c r="B96" s="15">
        <v>1055.7762275351668</v>
      </c>
    </row>
    <row r="97" spans="1:2">
      <c r="A97" s="14">
        <v>45182</v>
      </c>
      <c r="B97" s="15">
        <v>1057.1887275351662</v>
      </c>
    </row>
    <row r="98" spans="1:2">
      <c r="A98" s="14">
        <v>45183</v>
      </c>
      <c r="B98" s="15">
        <v>1058.1949775351666</v>
      </c>
    </row>
    <row r="99" spans="1:2">
      <c r="A99" s="14">
        <v>45184</v>
      </c>
      <c r="B99" s="15">
        <v>1059.4762275351663</v>
      </c>
    </row>
    <row r="100" spans="1:2">
      <c r="A100" s="14">
        <v>45185</v>
      </c>
      <c r="B100" s="15">
        <v>1051.3761403102999</v>
      </c>
    </row>
    <row r="101" spans="1:2">
      <c r="A101" s="14">
        <v>45186</v>
      </c>
      <c r="B101" s="15">
        <v>964.30910824456657</v>
      </c>
    </row>
    <row r="102" spans="1:2">
      <c r="A102" s="14">
        <v>45187</v>
      </c>
      <c r="B102" s="15">
        <v>1024.388561341166</v>
      </c>
    </row>
    <row r="103" spans="1:2">
      <c r="A103" s="14">
        <v>45188</v>
      </c>
      <c r="B103" s="15">
        <v>1026.9931129594002</v>
      </c>
    </row>
    <row r="104" spans="1:2">
      <c r="A104" s="14">
        <v>45189</v>
      </c>
      <c r="B104" s="15">
        <v>1038.0714775351667</v>
      </c>
    </row>
    <row r="105" spans="1:2">
      <c r="A105" s="14">
        <v>45190</v>
      </c>
      <c r="B105" s="15">
        <v>1060.0951858684996</v>
      </c>
    </row>
    <row r="106" spans="1:2">
      <c r="A106" s="14">
        <v>45191</v>
      </c>
      <c r="B106" s="15">
        <v>1059.9558108685003</v>
      </c>
    </row>
    <row r="107" spans="1:2">
      <c r="A107" s="14">
        <v>45192</v>
      </c>
      <c r="B107" s="15">
        <v>1061.1695192018335</v>
      </c>
    </row>
    <row r="108" spans="1:2">
      <c r="A108" s="14">
        <v>45193</v>
      </c>
      <c r="B108" s="15">
        <v>999.69564775986657</v>
      </c>
    </row>
    <row r="109" spans="1:2">
      <c r="A109" s="14">
        <v>45194</v>
      </c>
      <c r="B109" s="15">
        <v>1040.7675192018332</v>
      </c>
    </row>
    <row r="110" spans="1:2">
      <c r="A110" s="14">
        <v>45195</v>
      </c>
      <c r="B110" s="15">
        <v>1061.4991442018329</v>
      </c>
    </row>
    <row r="111" spans="1:2">
      <c r="A111" s="14">
        <v>45196</v>
      </c>
      <c r="B111" s="15">
        <v>1041.1220192018332</v>
      </c>
    </row>
    <row r="112" spans="1:2">
      <c r="A112" s="14">
        <v>45197</v>
      </c>
      <c r="B112" s="15">
        <v>1040.902592038</v>
      </c>
    </row>
    <row r="113" spans="1:2">
      <c r="A113" s="14">
        <v>45198</v>
      </c>
      <c r="B113" s="15">
        <v>1030.8538088231332</v>
      </c>
    </row>
    <row r="114" spans="1:2">
      <c r="A114" s="14">
        <v>45199</v>
      </c>
      <c r="B114" s="15">
        <v>1007.2794930701501</v>
      </c>
    </row>
    <row r="115" spans="1:2">
      <c r="A115" s="14">
        <v>45200</v>
      </c>
      <c r="B115" s="15">
        <v>1060.8147056184337</v>
      </c>
    </row>
    <row r="116" spans="1:2">
      <c r="A116" s="14">
        <v>45201</v>
      </c>
      <c r="B116" s="15">
        <v>1062.6107889517664</v>
      </c>
    </row>
    <row r="117" spans="1:2">
      <c r="A117" s="14">
        <v>45202</v>
      </c>
      <c r="B117" s="15">
        <v>1062.683661919433</v>
      </c>
    </row>
    <row r="118" spans="1:2">
      <c r="A118" s="14">
        <v>45203</v>
      </c>
      <c r="B118" s="15">
        <v>1057.2608306184331</v>
      </c>
    </row>
    <row r="119" spans="1:2">
      <c r="A119" s="14">
        <v>45204</v>
      </c>
      <c r="B119" s="15">
        <v>1058.7918306184331</v>
      </c>
    </row>
    <row r="120" spans="1:2">
      <c r="A120" s="14">
        <v>45205</v>
      </c>
      <c r="B120" s="15">
        <v>1085.4465806184328</v>
      </c>
    </row>
    <row r="121" spans="1:2">
      <c r="A121" s="14">
        <v>45206</v>
      </c>
      <c r="B121" s="15">
        <v>1098.8268213183671</v>
      </c>
    </row>
    <row r="122" spans="1:2">
      <c r="A122" s="14">
        <v>45207</v>
      </c>
      <c r="B122" s="15">
        <v>1043.2044139517661</v>
      </c>
    </row>
    <row r="123" spans="1:2">
      <c r="A123" s="14">
        <v>45208</v>
      </c>
      <c r="B123" s="15">
        <v>1067.1668858773621</v>
      </c>
    </row>
    <row r="124" spans="1:2">
      <c r="A124" s="14">
        <v>45209</v>
      </c>
      <c r="B124" s="15">
        <v>1066.2994340016339</v>
      </c>
    </row>
    <row r="125" spans="1:2">
      <c r="A125" s="14">
        <v>45210</v>
      </c>
      <c r="B125" s="15">
        <v>1039.6088050715664</v>
      </c>
    </row>
    <row r="126" spans="1:2">
      <c r="A126" s="14">
        <v>45211</v>
      </c>
      <c r="B126" s="15">
        <v>976.04232909796656</v>
      </c>
    </row>
    <row r="127" spans="1:2">
      <c r="A127" s="14">
        <v>45212</v>
      </c>
      <c r="B127" s="15">
        <v>987.66245427119986</v>
      </c>
    </row>
    <row r="128" spans="1:2">
      <c r="A128" s="14">
        <v>45213</v>
      </c>
      <c r="B128" s="15">
        <v>1052.5540806184333</v>
      </c>
    </row>
    <row r="129" spans="1:2">
      <c r="A129" s="14">
        <v>45214</v>
      </c>
      <c r="B129" s="15">
        <v>1005.9316866464751</v>
      </c>
    </row>
    <row r="130" spans="1:2">
      <c r="A130" s="14">
        <v>45215</v>
      </c>
      <c r="B130" s="15">
        <v>1075.8691222850998</v>
      </c>
    </row>
    <row r="131" spans="1:2">
      <c r="A131" s="14">
        <v>45216</v>
      </c>
      <c r="B131" s="15">
        <v>1106.2171409676664</v>
      </c>
    </row>
    <row r="132" spans="1:2">
      <c r="A132" s="14">
        <v>45217</v>
      </c>
      <c r="B132" s="15">
        <v>1176.4483146350997</v>
      </c>
    </row>
    <row r="133" spans="1:2">
      <c r="A133" s="14">
        <v>45218</v>
      </c>
      <c r="B133" s="15">
        <v>1279.428508167467</v>
      </c>
    </row>
    <row r="134" spans="1:2">
      <c r="A134" s="14">
        <v>45219</v>
      </c>
      <c r="B134" s="15">
        <v>1362.2730995474667</v>
      </c>
    </row>
    <row r="135" spans="1:2">
      <c r="A135" s="14">
        <v>45220</v>
      </c>
      <c r="B135" s="15">
        <v>1418.9582575586671</v>
      </c>
    </row>
    <row r="136" spans="1:2">
      <c r="A136" s="14">
        <v>45221</v>
      </c>
      <c r="B136" s="15">
        <v>1234.5839556184328</v>
      </c>
    </row>
    <row r="137" spans="1:2">
      <c r="A137" s="14">
        <v>45222</v>
      </c>
      <c r="B137" s="15">
        <v>1346.602288951766</v>
      </c>
    </row>
    <row r="138" spans="1:2">
      <c r="A138" s="14">
        <v>45223</v>
      </c>
      <c r="B138" s="15">
        <v>1420.8710389517664</v>
      </c>
    </row>
    <row r="139" spans="1:2">
      <c r="A139" s="14">
        <v>45224</v>
      </c>
      <c r="B139" s="15">
        <v>955.60192003476652</v>
      </c>
    </row>
    <row r="140" spans="1:2">
      <c r="A140" s="14">
        <v>45225</v>
      </c>
      <c r="B140" s="15">
        <v>755.94922159379996</v>
      </c>
    </row>
    <row r="141" spans="1:2">
      <c r="A141" s="14">
        <v>45226</v>
      </c>
      <c r="B141" s="15">
        <v>671.85316652829988</v>
      </c>
    </row>
    <row r="142" spans="1:2">
      <c r="A142" s="14">
        <v>45227</v>
      </c>
      <c r="B142" s="15">
        <v>518.16460327083325</v>
      </c>
    </row>
    <row r="143" spans="1:2">
      <c r="A143" s="14">
        <v>45228</v>
      </c>
      <c r="B143" s="15">
        <v>363.49106485319999</v>
      </c>
    </row>
    <row r="144" spans="1:2">
      <c r="A144" s="14">
        <v>45229</v>
      </c>
      <c r="B144" s="15">
        <v>553.37832122166662</v>
      </c>
    </row>
    <row r="145" spans="1:2">
      <c r="A145" s="14">
        <v>45230</v>
      </c>
      <c r="B145" s="15">
        <v>454.59310185353326</v>
      </c>
    </row>
    <row r="146" spans="1:2">
      <c r="A146" s="14">
        <v>45231</v>
      </c>
      <c r="B146" s="15">
        <v>429.58928254223332</v>
      </c>
    </row>
    <row r="147" spans="1:2">
      <c r="A147" s="14">
        <v>45232</v>
      </c>
      <c r="B147" s="15">
        <v>415.94926892419988</v>
      </c>
    </row>
    <row r="148" spans="1:2">
      <c r="A148" s="14">
        <v>45233</v>
      </c>
      <c r="B148" s="15">
        <v>352.09324701186665</v>
      </c>
    </row>
    <row r="149" spans="1:2">
      <c r="A149" s="14">
        <v>45234</v>
      </c>
      <c r="B149" s="15">
        <v>439.79206691303335</v>
      </c>
    </row>
    <row r="150" spans="1:2">
      <c r="A150" s="14">
        <v>45235</v>
      </c>
      <c r="B150" s="15">
        <v>300.0651591835333</v>
      </c>
    </row>
    <row r="151" spans="1:2">
      <c r="A151" s="14">
        <v>45236</v>
      </c>
      <c r="B151" s="15">
        <v>413.94031631146663</v>
      </c>
    </row>
    <row r="152" spans="1:2">
      <c r="A152" s="14">
        <v>45237</v>
      </c>
      <c r="B152" s="15">
        <v>548.24480966550016</v>
      </c>
    </row>
    <row r="153" spans="1:2">
      <c r="A153" s="14">
        <v>45238</v>
      </c>
      <c r="B153" s="15">
        <v>481.72165431263335</v>
      </c>
    </row>
    <row r="154" spans="1:2">
      <c r="A154" s="14">
        <v>45239</v>
      </c>
      <c r="B154" s="15">
        <v>574.59049207693329</v>
      </c>
    </row>
    <row r="155" spans="1:2">
      <c r="A155" s="14">
        <v>45240</v>
      </c>
      <c r="B155" s="15">
        <v>558.69260251046671</v>
      </c>
    </row>
    <row r="156" spans="1:2">
      <c r="A156" s="14">
        <v>45241</v>
      </c>
      <c r="B156" s="15">
        <v>566.49875254920005</v>
      </c>
    </row>
    <row r="157" spans="1:2">
      <c r="A157" s="14">
        <v>45242</v>
      </c>
      <c r="B157" s="15">
        <v>593.00702438586643</v>
      </c>
    </row>
    <row r="158" spans="1:2">
      <c r="A158" s="14">
        <v>45243</v>
      </c>
      <c r="B158" s="15">
        <v>651.87268901203322</v>
      </c>
    </row>
    <row r="159" spans="1:2">
      <c r="A159" s="14">
        <v>45244</v>
      </c>
      <c r="B159" s="15">
        <v>825.76613153629944</v>
      </c>
    </row>
    <row r="160" spans="1:2">
      <c r="A160" s="14">
        <v>45245</v>
      </c>
      <c r="B160" s="15">
        <v>798.90509095233335</v>
      </c>
    </row>
    <row r="161" spans="1:2">
      <c r="A161" s="14">
        <v>45246</v>
      </c>
      <c r="B161" s="15">
        <v>681.47227516296653</v>
      </c>
    </row>
    <row r="162" spans="1:2">
      <c r="A162" s="14">
        <v>45247</v>
      </c>
      <c r="B162" s="15">
        <v>646.74314063629993</v>
      </c>
    </row>
    <row r="163" spans="1:2">
      <c r="A163" s="14">
        <v>45248</v>
      </c>
      <c r="B163" s="15">
        <v>431.74898909629991</v>
      </c>
    </row>
    <row r="164" spans="1:2">
      <c r="A164" s="14">
        <v>45249</v>
      </c>
      <c r="B164" s="15">
        <v>360.52517800769994</v>
      </c>
    </row>
    <row r="165" spans="1:2">
      <c r="A165" s="14">
        <v>45250</v>
      </c>
      <c r="B165" s="15">
        <v>341.13931359463334</v>
      </c>
    </row>
    <row r="166" spans="1:2">
      <c r="A166" s="14">
        <v>45251</v>
      </c>
      <c r="B166" s="15">
        <v>306.64694971916663</v>
      </c>
    </row>
    <row r="167" spans="1:2">
      <c r="A167" s="14">
        <v>45252</v>
      </c>
      <c r="B167" s="15">
        <v>398.00803274449999</v>
      </c>
    </row>
    <row r="168" spans="1:2">
      <c r="A168" s="14">
        <v>45253</v>
      </c>
      <c r="B168" s="15">
        <v>419.99767629650006</v>
      </c>
    </row>
    <row r="169" spans="1:2">
      <c r="A169" s="14">
        <v>45254</v>
      </c>
      <c r="B169" s="15">
        <v>489.01801585163344</v>
      </c>
    </row>
    <row r="170" spans="1:2">
      <c r="A170" s="14">
        <v>45255</v>
      </c>
      <c r="B170" s="15">
        <v>373.49139753866666</v>
      </c>
    </row>
    <row r="171" spans="1:2">
      <c r="A171" s="14">
        <v>45256</v>
      </c>
      <c r="B171" s="15">
        <v>342.42671705829986</v>
      </c>
    </row>
    <row r="172" spans="1:2">
      <c r="A172" s="14">
        <v>45257</v>
      </c>
      <c r="B172" s="15">
        <v>511.33534469513324</v>
      </c>
    </row>
    <row r="173" spans="1:2">
      <c r="A173" s="14">
        <v>45258</v>
      </c>
      <c r="B173" s="15">
        <v>575.97723630360019</v>
      </c>
    </row>
    <row r="174" spans="1:2">
      <c r="A174" s="14">
        <v>45259</v>
      </c>
      <c r="B174" s="15">
        <v>533.64156324776684</v>
      </c>
    </row>
    <row r="175" spans="1:2">
      <c r="A175" s="14">
        <v>45260</v>
      </c>
      <c r="B175" s="15">
        <v>655.35892366563291</v>
      </c>
    </row>
    <row r="176" spans="1:2">
      <c r="A176" s="14">
        <v>45261</v>
      </c>
      <c r="B176" s="15">
        <v>698.56286398060035</v>
      </c>
    </row>
    <row r="177" spans="1:2">
      <c r="A177" s="14">
        <v>45262</v>
      </c>
      <c r="B177" s="15">
        <v>751.62221255546649</v>
      </c>
    </row>
    <row r="178" spans="1:2">
      <c r="A178" s="14">
        <v>45263</v>
      </c>
      <c r="B178" s="15">
        <v>735.93112638546654</v>
      </c>
    </row>
    <row r="179" spans="1:2">
      <c r="A179" s="14">
        <v>45264</v>
      </c>
      <c r="B179" s="15">
        <v>754.86162332383356</v>
      </c>
    </row>
    <row r="180" spans="1:2">
      <c r="A180" s="14">
        <v>45265</v>
      </c>
      <c r="B180" s="15">
        <v>798.97438003933337</v>
      </c>
    </row>
    <row r="181" spans="1:2">
      <c r="A181" s="14">
        <v>45266</v>
      </c>
      <c r="B181" s="15">
        <v>810.65244576763325</v>
      </c>
    </row>
    <row r="182" spans="1:2">
      <c r="A182" s="14">
        <v>45267</v>
      </c>
      <c r="B182" s="15">
        <v>807.1733841137999</v>
      </c>
    </row>
    <row r="183" spans="1:2">
      <c r="A183" s="14">
        <v>45268</v>
      </c>
      <c r="B183" s="15">
        <v>796.91154167679997</v>
      </c>
    </row>
    <row r="184" spans="1:2">
      <c r="A184" s="14">
        <v>45269</v>
      </c>
      <c r="B184" s="15">
        <v>882.14350000000013</v>
      </c>
    </row>
    <row r="185" spans="1:2">
      <c r="A185" s="14">
        <v>45270</v>
      </c>
      <c r="B185" s="15">
        <v>901.47267369883309</v>
      </c>
    </row>
    <row r="186" spans="1:2">
      <c r="A186" s="13" t="s">
        <v>2825</v>
      </c>
      <c r="B186" s="16">
        <f>AVERAGE(B2:B185)</f>
        <v>699.25018283289216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5703E-FC72-4E81-9040-8C1CF8DCD0AD}">
  <dimension ref="A1:S33"/>
  <sheetViews>
    <sheetView showGridLines="0" showRowColHeaders="0" zoomScaleNormal="100" workbookViewId="0">
      <selection sqref="A1:Q2"/>
    </sheetView>
  </sheetViews>
  <sheetFormatPr baseColWidth="10" defaultColWidth="11.453125" defaultRowHeight="14.5"/>
  <cols>
    <col min="1" max="1" width="14.7265625" bestFit="1" customWidth="1"/>
    <col min="2" max="2" width="14" customWidth="1"/>
    <col min="3" max="3" width="7.81640625" customWidth="1"/>
    <col min="4" max="4" width="13.81640625" bestFit="1" customWidth="1"/>
    <col min="5" max="5" width="7.81640625" customWidth="1"/>
    <col min="6" max="6" width="2.26953125" customWidth="1"/>
    <col min="7" max="7" width="16.453125" bestFit="1" customWidth="1"/>
    <col min="8" max="17" width="14" customWidth="1"/>
  </cols>
  <sheetData>
    <row r="1" spans="1:19">
      <c r="A1" s="401" t="s">
        <v>2826</v>
      </c>
      <c r="B1" s="402"/>
      <c r="C1" s="402"/>
      <c r="D1" s="402"/>
      <c r="E1" s="402"/>
      <c r="F1" s="402"/>
      <c r="G1" s="402"/>
      <c r="H1" s="402"/>
      <c r="I1" s="402"/>
      <c r="J1" s="402"/>
      <c r="K1" s="402"/>
      <c r="L1" s="402"/>
      <c r="M1" s="402"/>
      <c r="N1" s="402"/>
      <c r="O1" s="402"/>
      <c r="P1" s="402"/>
      <c r="Q1" s="403"/>
      <c r="R1" s="79"/>
      <c r="S1" s="79"/>
    </row>
    <row r="2" spans="1:19" ht="15" thickBot="1">
      <c r="A2" s="404"/>
      <c r="B2" s="405"/>
      <c r="C2" s="405"/>
      <c r="D2" s="405"/>
      <c r="E2" s="405"/>
      <c r="F2" s="405"/>
      <c r="G2" s="405"/>
      <c r="H2" s="405"/>
      <c r="I2" s="405"/>
      <c r="J2" s="405"/>
      <c r="K2" s="405"/>
      <c r="L2" s="405"/>
      <c r="M2" s="405"/>
      <c r="N2" s="405"/>
      <c r="O2" s="405"/>
      <c r="P2" s="405"/>
      <c r="Q2" s="406"/>
      <c r="R2" s="79"/>
      <c r="S2" s="79"/>
    </row>
    <row r="3" spans="1:19" ht="15" thickBot="1">
      <c r="A3" s="79"/>
      <c r="B3" s="79"/>
      <c r="C3" s="79"/>
      <c r="D3" s="79"/>
      <c r="E3" s="79"/>
      <c r="F3" s="79"/>
      <c r="G3" s="79"/>
      <c r="H3" s="79"/>
      <c r="I3" s="79"/>
      <c r="J3" s="79"/>
      <c r="K3" s="79"/>
      <c r="L3" s="79"/>
      <c r="M3" s="79"/>
      <c r="N3" s="79"/>
      <c r="O3" s="79"/>
      <c r="P3" s="79"/>
      <c r="Q3" s="79"/>
      <c r="R3" s="79"/>
      <c r="S3" s="79"/>
    </row>
    <row r="4" spans="1:19">
      <c r="A4" s="245" t="str">
        <f>FINANCIACIÓN!B1</f>
        <v>FINANCIACIÓN</v>
      </c>
      <c r="B4" s="246" t="str">
        <f>FINANCIACIÓN!C1</f>
        <v>SALDO INICIAL</v>
      </c>
      <c r="C4" s="246" t="str">
        <f>FINANCIACIÓN!D1</f>
        <v>TASA</v>
      </c>
      <c r="D4" s="246" t="str">
        <f>FINANCIACIÓN!E1</f>
        <v>PARTICIPACIÓN</v>
      </c>
      <c r="E4" s="247" t="str">
        <f>FINANCIACIÓN!F1</f>
        <v>TPP</v>
      </c>
      <c r="F4" s="79"/>
      <c r="G4" s="245" t="str">
        <f>FINANCIACIÓN!E7</f>
        <v>DATOS</v>
      </c>
      <c r="H4" s="246" t="str">
        <f>FINANCIACIÓN!F7</f>
        <v>AÑO 1</v>
      </c>
      <c r="I4" s="246" t="str">
        <f>FINANCIACIÓN!G7</f>
        <v>AÑO 2</v>
      </c>
      <c r="J4" s="246" t="str">
        <f>FINANCIACIÓN!H7</f>
        <v>AÑO 3</v>
      </c>
      <c r="K4" s="246" t="str">
        <f>FINANCIACIÓN!I7</f>
        <v>AÑO 4</v>
      </c>
      <c r="L4" s="246" t="str">
        <f>FINANCIACIÓN!J7</f>
        <v>AÑO 5</v>
      </c>
      <c r="M4" s="246" t="str">
        <f>FINANCIACIÓN!K7</f>
        <v>AÑO 6</v>
      </c>
      <c r="N4" s="246" t="str">
        <f>FINANCIACIÓN!L7</f>
        <v>AÑO 7</v>
      </c>
      <c r="O4" s="246" t="str">
        <f>FINANCIACIÓN!M7</f>
        <v>AÑO 8</v>
      </c>
      <c r="P4" s="246" t="str">
        <f>FINANCIACIÓN!N7</f>
        <v>AÑO 9</v>
      </c>
      <c r="Q4" s="247" t="str">
        <f>FINANCIACIÓN!O7</f>
        <v>AÑO 10</v>
      </c>
      <c r="R4" s="79"/>
      <c r="S4" s="79"/>
    </row>
    <row r="5" spans="1:19">
      <c r="A5" s="83" t="str">
        <f>FINANCIACIÓN!B2</f>
        <v>FINANCIACIÓN 1</v>
      </c>
      <c r="B5" s="263">
        <f>FINANCIACIÓN!C2</f>
        <v>142192705.029616</v>
      </c>
      <c r="C5" s="264">
        <f>FINANCIACIÓN!D2</f>
        <v>1.4999999999999999E-2</v>
      </c>
      <c r="D5" s="264">
        <f>FINANCIACIÓN!E2</f>
        <v>1</v>
      </c>
      <c r="E5" s="265">
        <f>FINANCIACIÓN!F2</f>
        <v>1.4999999999999999E-2</v>
      </c>
      <c r="F5" s="79"/>
      <c r="G5" s="83" t="str">
        <f>FINANCIACIÓN!E8</f>
        <v>SALDO INICIAL</v>
      </c>
      <c r="H5" s="263">
        <f>FINANCIACIÓN!F8+FINANCIACIÓN!F18+FINANCIACIÓN!F28</f>
        <v>142192705.029616</v>
      </c>
      <c r="I5" s="263">
        <f>FINANCIACIÓN!G8+FINANCIACIÓN!G18+FINANCIACIÓN!G28</f>
        <v>136595266.97462627</v>
      </c>
      <c r="J5" s="263">
        <f>FINANCIACIÓN!H8+FINANCIACIÓN!H18+FINANCIACIÓN!H28</f>
        <v>129902868.32245024</v>
      </c>
      <c r="K5" s="263">
        <f>FINANCIACIÓN!I8+FINANCIACIÓN!I18+FINANCIACIÓN!I28</f>
        <v>121901314.88324387</v>
      </c>
      <c r="L5" s="263">
        <f>FINANCIACIÓN!J8+FINANCIACIÓN!J18+FINANCIACIÓN!J28</f>
        <v>112334512.1914082</v>
      </c>
      <c r="M5" s="263">
        <f>FINANCIACIÓN!K8+FINANCIACIÓN!K18+FINANCIACIÓN!K28</f>
        <v>100896269.05026235</v>
      </c>
      <c r="N5" s="263">
        <f>FINANCIACIÓN!L8+FINANCIACIÓN!L18+FINANCIACIÓN!L28</f>
        <v>87220497.70111309</v>
      </c>
      <c r="O5" s="263">
        <f>FINANCIACIÓN!M8+FINANCIACIÓN!M18+FINANCIACIÓN!M28</f>
        <v>70869496.967317209</v>
      </c>
      <c r="P5" s="263">
        <f>FINANCIACIÓN!N8+FINANCIACIÓN!N18+FINANCIACIÓN!N28</f>
        <v>51319943.368409947</v>
      </c>
      <c r="Q5" s="84">
        <f>FINANCIACIÓN!O8+FINANCIACIÓN!O18+FINANCIACIÓN!O28</f>
        <v>27946141.841595169</v>
      </c>
      <c r="R5" s="79"/>
      <c r="S5" s="79"/>
    </row>
    <row r="6" spans="1:19">
      <c r="A6" s="83" t="str">
        <f>FINANCIACIÓN!B3</f>
        <v>FINANCIACIÓN 2</v>
      </c>
      <c r="B6" s="263">
        <f>FINANCIACIÓN!C3</f>
        <v>0</v>
      </c>
      <c r="C6" s="264">
        <f>FINANCIACIÓN!D3</f>
        <v>0</v>
      </c>
      <c r="D6" s="264">
        <f>FINANCIACIÓN!E3</f>
        <v>0</v>
      </c>
      <c r="E6" s="265">
        <f>FINANCIACIÓN!F3</f>
        <v>0</v>
      </c>
      <c r="F6" s="79"/>
      <c r="G6" s="83" t="str">
        <f>FINANCIACIÓN!E9</f>
        <v>INTERESES</v>
      </c>
      <c r="H6" s="263">
        <f>FINANCIACIÓN!F9+FINANCIACIÓN!F19+FINANCIACIÓN!F29</f>
        <v>25147786.974537171</v>
      </c>
      <c r="I6" s="263">
        <f>FINANCIACIÓN!G9+FINANCIACIÓN!G19+FINANCIACIÓN!G29</f>
        <v>24052826.377350867</v>
      </c>
      <c r="J6" s="263">
        <f>FINANCIACIÓN!H9+FINANCIACIÓN!H19+FINANCIACIÓN!H29</f>
        <v>22743671.59032055</v>
      </c>
      <c r="K6" s="263">
        <f>FINANCIACIÓN!I9+FINANCIACIÓN!I19+FINANCIACIÓN!I29</f>
        <v>21178422.33769124</v>
      </c>
      <c r="L6" s="263">
        <f>FINANCIACIÓN!J9+FINANCIACIÓN!J19+FINANCIACIÓN!J29</f>
        <v>19306981.888381049</v>
      </c>
      <c r="M6" s="263">
        <f>FINANCIACIÓN!K9+FINANCIACIÓN!K19+FINANCIACIÓN!K29</f>
        <v>17069453.680377655</v>
      </c>
      <c r="N6" s="263">
        <f>FINANCIACIÓN!L9+FINANCIACIÓN!L19+FINANCIACIÓN!L29</f>
        <v>14394224.295731025</v>
      </c>
      <c r="O6" s="263">
        <f>FINANCIACIÓN!M9+FINANCIACIÓN!M19+FINANCIACIÓN!M29</f>
        <v>11195671.43061965</v>
      </c>
      <c r="P6" s="263">
        <f>FINANCIACIÓN!N9+FINANCIACIÓN!N19+FINANCIACIÓN!N29</f>
        <v>7371423.5027121343</v>
      </c>
      <c r="Q6" s="84">
        <f>FINANCIACIÓN!O9+FINANCIACIÓN!O19+FINANCIACIÓN!O29</f>
        <v>2799083.1879317872</v>
      </c>
      <c r="R6" s="79"/>
      <c r="S6" s="79"/>
    </row>
    <row r="7" spans="1:19">
      <c r="A7" s="83" t="str">
        <f>FINANCIACIÓN!B4</f>
        <v>FINANCIACIÓN 3</v>
      </c>
      <c r="B7" s="263">
        <f>FINANCIACIÓN!C4</f>
        <v>0</v>
      </c>
      <c r="C7" s="264">
        <f>FINANCIACIÓN!D4</f>
        <v>0</v>
      </c>
      <c r="D7" s="264">
        <f>FINANCIACIÓN!E4</f>
        <v>0</v>
      </c>
      <c r="E7" s="265">
        <f>FINANCIACIÓN!F4</f>
        <v>0</v>
      </c>
      <c r="F7" s="79"/>
      <c r="G7" s="83" t="str">
        <f>FINANCIACIÓN!E10</f>
        <v>CAPITAL</v>
      </c>
      <c r="H7" s="263">
        <f>FINANCIACIÓN!F10+FINANCIACIÓN!F20+FINANCIACIÓN!F30</f>
        <v>5597438.0549897384</v>
      </c>
      <c r="I7" s="263">
        <f>FINANCIACIÓN!G10+FINANCIACIÓN!G20+FINANCIACIÓN!G30</f>
        <v>6692398.652176044</v>
      </c>
      <c r="J7" s="263">
        <f>FINANCIACIÓN!H10+FINANCIACIÓN!H20+FINANCIACIÓN!H30</f>
        <v>8001553.4392063636</v>
      </c>
      <c r="K7" s="263">
        <f>FINANCIACIÓN!I10+FINANCIACIÓN!I20+FINANCIACIÓN!I30</f>
        <v>9566802.6918356735</v>
      </c>
      <c r="L7" s="263">
        <f>FINANCIACIÓN!J10+FINANCIACIÓN!J20+FINANCIACIÓN!J30</f>
        <v>11438243.141145861</v>
      </c>
      <c r="M7" s="263">
        <f>FINANCIACIÓN!K10+FINANCIACIÓN!K20+FINANCIACIÓN!K30</f>
        <v>13675771.349149259</v>
      </c>
      <c r="N7" s="263">
        <f>FINANCIACIÓN!L10+FINANCIACIÓN!L20+FINANCIACIÓN!L30</f>
        <v>16351000.733795887</v>
      </c>
      <c r="O7" s="263">
        <f>FINANCIACIÓN!M10+FINANCIACIÓN!M20+FINANCIACIÓN!M30</f>
        <v>19549553.598907262</v>
      </c>
      <c r="P7" s="263">
        <f>FINANCIACIÓN!N10+FINANCIACIÓN!N20+FINANCIACIÓN!N30</f>
        <v>23373801.526814777</v>
      </c>
      <c r="Q7" s="84">
        <f>FINANCIACIÓN!O10+FINANCIACIÓN!O20+FINANCIACIÓN!O30</f>
        <v>27946141.841595124</v>
      </c>
      <c r="R7" s="79"/>
      <c r="S7" s="79"/>
    </row>
    <row r="8" spans="1:19" ht="15" thickBot="1">
      <c r="A8" s="85" t="str">
        <f>FINANCIACIÓN!B5</f>
        <v>TOTAL</v>
      </c>
      <c r="B8" s="266">
        <f>FINANCIACIÓN!C5</f>
        <v>142192705.029616</v>
      </c>
      <c r="C8" s="267">
        <f>FINANCIACIÓN!D5</f>
        <v>0</v>
      </c>
      <c r="D8" s="268" t="str">
        <f>FINANCIACIÓN!E5</f>
        <v>TPP</v>
      </c>
      <c r="E8" s="269">
        <f>FINANCIACIÓN!F5</f>
        <v>1.4999999999999999E-2</v>
      </c>
      <c r="F8" s="79"/>
      <c r="G8" s="83" t="str">
        <f>FINANCIACIÓN!E11</f>
        <v>CUOTA</v>
      </c>
      <c r="H8" s="263">
        <f>FINANCIACIÓN!F11+FINANCIACIÓN!F21+FINANCIACIÓN!F31</f>
        <v>30745225.029526912</v>
      </c>
      <c r="I8" s="263">
        <f>FINANCIACIÓN!G11+FINANCIACIÓN!G21+FINANCIACIÓN!G31</f>
        <v>30745225.029526912</v>
      </c>
      <c r="J8" s="263">
        <f>FINANCIACIÓN!H11+FINANCIACIÓN!H21+FINANCIACIÓN!H31</f>
        <v>30745225.029526912</v>
      </c>
      <c r="K8" s="263">
        <f>FINANCIACIÓN!I11+FINANCIACIÓN!I21+FINANCIACIÓN!I31</f>
        <v>30745225.029526912</v>
      </c>
      <c r="L8" s="263">
        <f>FINANCIACIÓN!J11+FINANCIACIÓN!J21+FINANCIACIÓN!J31</f>
        <v>30745225.029526912</v>
      </c>
      <c r="M8" s="263">
        <f>FINANCIACIÓN!K11+FINANCIACIÓN!K21+FINANCIACIÓN!K31</f>
        <v>30745225.029526912</v>
      </c>
      <c r="N8" s="263">
        <f>FINANCIACIÓN!L11+FINANCIACIÓN!L21+FINANCIACIÓN!L31</f>
        <v>30745225.029526912</v>
      </c>
      <c r="O8" s="263">
        <f>FINANCIACIÓN!M11+FINANCIACIÓN!M21+FINANCIACIÓN!M31</f>
        <v>30745225.029526912</v>
      </c>
      <c r="P8" s="263">
        <f>FINANCIACIÓN!N11+FINANCIACIÓN!N21+FINANCIACIÓN!N31</f>
        <v>30745225.029526912</v>
      </c>
      <c r="Q8" s="84">
        <f>FINANCIACIÓN!O11+FINANCIACIÓN!O21+FINANCIACIÓN!O31</f>
        <v>30745225.029526912</v>
      </c>
      <c r="R8" s="79"/>
      <c r="S8" s="79"/>
    </row>
    <row r="9" spans="1:19" ht="15" thickBot="1">
      <c r="A9" s="79"/>
      <c r="B9" s="79"/>
      <c r="C9" s="79"/>
      <c r="D9" s="79"/>
      <c r="E9" s="79"/>
      <c r="F9" s="79"/>
      <c r="G9" s="83" t="str">
        <f>FINANCIACIÓN!E12</f>
        <v>FONDO NACIONAL</v>
      </c>
      <c r="H9" s="263">
        <f>FINANCIACIÓN!F12+FINANCIACIÓN!F22+FINANCIACIÓN!F32</f>
        <v>0</v>
      </c>
      <c r="I9" s="263">
        <f>FINANCIACIÓN!G12+FINANCIACIÓN!G22+FINANCIACIÓN!G32</f>
        <v>0</v>
      </c>
      <c r="J9" s="263">
        <f>FINANCIACIÓN!H12+FINANCIACIÓN!H22+FINANCIACIÓN!H32</f>
        <v>0</v>
      </c>
      <c r="K9" s="263">
        <f>FINANCIACIÓN!I12+FINANCIACIÓN!I22+FINANCIACIÓN!I32</f>
        <v>0</v>
      </c>
      <c r="L9" s="263">
        <f>FINANCIACIÓN!J12+FINANCIACIÓN!J22+FINANCIACIÓN!J32</f>
        <v>0</v>
      </c>
      <c r="M9" s="263">
        <f>FINANCIACIÓN!K12+FINANCIACIÓN!K22+FINANCIACIÓN!K32</f>
        <v>0</v>
      </c>
      <c r="N9" s="263">
        <f>FINANCIACIÓN!L12+FINANCIACIÓN!L22+FINANCIACIÓN!L32</f>
        <v>0</v>
      </c>
      <c r="O9" s="263">
        <f>FINANCIACIÓN!M12+FINANCIACIÓN!M22+FINANCIACIÓN!M32</f>
        <v>0</v>
      </c>
      <c r="P9" s="263">
        <f>FINANCIACIÓN!N12+FINANCIACIÓN!N22+FINANCIACIÓN!N32</f>
        <v>0</v>
      </c>
      <c r="Q9" s="84">
        <f>FINANCIACIÓN!O12+FINANCIACIÓN!O22+FINANCIACIÓN!O32</f>
        <v>0</v>
      </c>
      <c r="R9" s="79"/>
      <c r="S9" s="79"/>
    </row>
    <row r="10" spans="1:19" ht="15" thickBot="1">
      <c r="A10" s="852" t="s">
        <v>2827</v>
      </c>
      <c r="B10" s="853"/>
      <c r="C10" s="853"/>
      <c r="D10" s="853"/>
      <c r="E10" s="854"/>
      <c r="F10" s="79"/>
      <c r="G10" s="103" t="s">
        <v>2828</v>
      </c>
      <c r="H10" s="270">
        <f>FINANCIACIÓN!F13+FINANCIACIÓN!F23+FINANCIACIÓN!F33</f>
        <v>0</v>
      </c>
      <c r="I10" s="270">
        <f>FINANCIACIÓN!G13+FINANCIACIÓN!G23+FINANCIACIÓN!G33</f>
        <v>0</v>
      </c>
      <c r="J10" s="270">
        <f>FINANCIACIÓN!H13+FINANCIACIÓN!H23+FINANCIACIÓN!H33</f>
        <v>0</v>
      </c>
      <c r="K10" s="270">
        <f>FINANCIACIÓN!I13+FINANCIACIÓN!I23+FINANCIACIÓN!I33</f>
        <v>0</v>
      </c>
      <c r="L10" s="270">
        <f>FINANCIACIÓN!J13+FINANCIACIÓN!J23+FINANCIACIÓN!J33</f>
        <v>0</v>
      </c>
      <c r="M10" s="270">
        <f>FINANCIACIÓN!K13+FINANCIACIÓN!K23+FINANCIACIÓN!K33</f>
        <v>0</v>
      </c>
      <c r="N10" s="270">
        <f>FINANCIACIÓN!L13+FINANCIACIÓN!L23+FINANCIACIÓN!L33</f>
        <v>0</v>
      </c>
      <c r="O10" s="270">
        <f>FINANCIACIÓN!M13+FINANCIACIÓN!M23+FINANCIACIÓN!M33</f>
        <v>0</v>
      </c>
      <c r="P10" s="270">
        <f>FINANCIACIÓN!N13+FINANCIACIÓN!N23+FINANCIACIÓN!N33</f>
        <v>0</v>
      </c>
      <c r="Q10" s="258">
        <f>FINANCIACIÓN!O13+FINANCIACIÓN!O23+FINANCIACIÓN!O33</f>
        <v>14219270.5029616</v>
      </c>
      <c r="R10" s="79"/>
      <c r="S10" s="79"/>
    </row>
    <row r="11" spans="1:19">
      <c r="A11" s="855"/>
      <c r="B11" s="856"/>
      <c r="C11" s="856"/>
      <c r="D11" s="856"/>
      <c r="E11" s="857"/>
      <c r="F11" s="79"/>
      <c r="G11" s="79"/>
      <c r="H11" s="257"/>
      <c r="I11" s="257"/>
      <c r="J11" s="257"/>
      <c r="K11" s="257"/>
      <c r="L11" s="257"/>
      <c r="M11" s="257"/>
      <c r="N11" s="257"/>
      <c r="O11" s="257"/>
      <c r="P11" s="257"/>
      <c r="Q11" s="257"/>
      <c r="R11" s="79"/>
      <c r="S11" s="79"/>
    </row>
    <row r="12" spans="1:19" ht="15" thickBot="1">
      <c r="A12" s="858"/>
      <c r="B12" s="859"/>
      <c r="C12" s="859"/>
      <c r="D12" s="859"/>
      <c r="E12" s="860"/>
      <c r="F12" s="79"/>
      <c r="G12" s="79"/>
      <c r="H12" s="79"/>
      <c r="I12" s="79"/>
      <c r="J12" s="79"/>
      <c r="K12" s="79"/>
      <c r="L12" s="79"/>
      <c r="M12" s="79"/>
      <c r="N12" s="79"/>
      <c r="O12" s="79"/>
      <c r="P12" s="79"/>
      <c r="Q12" s="79"/>
      <c r="R12" s="79"/>
      <c r="S12" s="79"/>
    </row>
    <row r="13" spans="1:19" ht="15" thickBot="1">
      <c r="A13" s="79"/>
      <c r="B13" s="79"/>
      <c r="C13" s="79"/>
      <c r="D13" s="79"/>
      <c r="E13" s="79"/>
      <c r="F13" s="79"/>
      <c r="G13" s="79"/>
      <c r="H13" s="79"/>
      <c r="I13" s="79"/>
      <c r="J13" s="79"/>
      <c r="K13" s="79"/>
      <c r="L13" s="79"/>
      <c r="M13" s="79"/>
      <c r="N13" s="79"/>
      <c r="O13" s="79"/>
      <c r="P13" s="79"/>
      <c r="Q13" s="79"/>
      <c r="R13" s="79"/>
      <c r="S13" s="79"/>
    </row>
    <row r="14" spans="1:19" ht="24" thickBot="1">
      <c r="A14" s="865" t="s">
        <v>2829</v>
      </c>
      <c r="B14" s="866"/>
      <c r="C14" s="866"/>
      <c r="D14" s="866"/>
      <c r="E14" s="867"/>
      <c r="F14" s="79"/>
      <c r="G14" s="79"/>
      <c r="H14" s="79"/>
      <c r="I14" s="79"/>
      <c r="J14" s="79"/>
      <c r="K14" s="79"/>
      <c r="L14" s="79"/>
      <c r="M14" s="79"/>
      <c r="N14" s="79"/>
      <c r="O14" s="79"/>
      <c r="P14" s="79"/>
      <c r="Q14" s="79"/>
      <c r="R14" s="79"/>
      <c r="S14" s="79"/>
    </row>
    <row r="15" spans="1:19" ht="15" thickBot="1">
      <c r="A15" s="79"/>
      <c r="B15" s="79"/>
      <c r="C15" s="79"/>
      <c r="D15" s="79"/>
      <c r="E15" s="79"/>
      <c r="F15" s="79"/>
      <c r="G15" s="79"/>
      <c r="H15" s="79"/>
      <c r="I15" s="79"/>
      <c r="J15" s="79"/>
      <c r="K15" s="79"/>
      <c r="L15" s="79"/>
      <c r="M15" s="79"/>
      <c r="N15" s="79"/>
      <c r="O15" s="79"/>
      <c r="P15" s="79"/>
      <c r="Q15" s="79"/>
      <c r="R15" s="79"/>
      <c r="S15" s="79"/>
    </row>
    <row r="16" spans="1:19">
      <c r="A16" s="861" t="s">
        <v>2830</v>
      </c>
      <c r="B16" s="862"/>
      <c r="C16" s="79"/>
      <c r="D16" s="848" t="str">
        <f>'FONDOS A LOS QUE PUEDE APLICAR'!D2</f>
        <v>NO</v>
      </c>
      <c r="E16" s="849"/>
      <c r="F16" s="79"/>
      <c r="G16" s="79"/>
      <c r="H16" s="79"/>
      <c r="I16" s="79"/>
      <c r="J16" s="79"/>
      <c r="K16" s="79"/>
      <c r="L16" s="79"/>
      <c r="M16" s="79"/>
      <c r="N16" s="79"/>
      <c r="O16" s="79"/>
      <c r="P16" s="79"/>
      <c r="Q16" s="79"/>
      <c r="R16" s="79"/>
      <c r="S16" s="79"/>
    </row>
    <row r="17" spans="1:19" ht="15" thickBot="1">
      <c r="A17" s="863"/>
      <c r="B17" s="864"/>
      <c r="C17" s="79"/>
      <c r="D17" s="850"/>
      <c r="E17" s="851"/>
      <c r="F17" s="79"/>
      <c r="G17" s="79"/>
      <c r="H17" s="79"/>
      <c r="I17" s="79"/>
      <c r="J17" s="79"/>
      <c r="K17" s="79"/>
      <c r="L17" s="79"/>
      <c r="M17" s="79"/>
      <c r="N17" s="79"/>
      <c r="O17" s="79"/>
      <c r="P17" s="79"/>
      <c r="Q17" s="79"/>
      <c r="R17" s="79"/>
      <c r="S17" s="79"/>
    </row>
    <row r="18" spans="1:19" ht="15" thickBot="1">
      <c r="A18" s="79"/>
      <c r="B18" s="79"/>
      <c r="C18" s="79"/>
      <c r="D18" s="79"/>
      <c r="E18" s="79"/>
      <c r="F18" s="79"/>
      <c r="G18" s="79"/>
      <c r="H18" s="79"/>
      <c r="I18" s="79"/>
      <c r="J18" s="79"/>
      <c r="K18" s="79"/>
      <c r="L18" s="79"/>
      <c r="M18" s="79"/>
      <c r="N18" s="79"/>
      <c r="O18" s="79"/>
      <c r="P18" s="79"/>
      <c r="Q18" s="79"/>
      <c r="R18" s="79"/>
      <c r="S18" s="79"/>
    </row>
    <row r="19" spans="1:19">
      <c r="A19" s="861" t="s">
        <v>2831</v>
      </c>
      <c r="B19" s="862"/>
      <c r="C19" s="79"/>
      <c r="D19" s="848" t="str">
        <f>'FONDOS A LOS QUE PUEDE APLICAR'!D3</f>
        <v>NO</v>
      </c>
      <c r="E19" s="849"/>
      <c r="F19" s="79"/>
      <c r="G19" s="79"/>
      <c r="H19" s="79"/>
      <c r="I19" s="79"/>
      <c r="J19" s="79"/>
      <c r="K19" s="79"/>
      <c r="L19" s="79"/>
      <c r="M19" s="79"/>
      <c r="N19" s="79"/>
      <c r="O19" s="79"/>
      <c r="P19" s="79"/>
      <c r="Q19" s="79"/>
      <c r="R19" s="79"/>
      <c r="S19" s="79"/>
    </row>
    <row r="20" spans="1:19" ht="15" thickBot="1">
      <c r="A20" s="863"/>
      <c r="B20" s="864"/>
      <c r="C20" s="79"/>
      <c r="D20" s="850"/>
      <c r="E20" s="851"/>
      <c r="F20" s="79"/>
      <c r="G20" s="79"/>
      <c r="H20" s="79"/>
      <c r="I20" s="79"/>
      <c r="J20" s="79"/>
      <c r="K20" s="79"/>
      <c r="L20" s="79"/>
      <c r="M20" s="79"/>
      <c r="N20" s="79"/>
      <c r="O20" s="79"/>
      <c r="P20" s="79"/>
      <c r="Q20" s="79"/>
      <c r="R20" s="79"/>
      <c r="S20" s="79"/>
    </row>
    <row r="21" spans="1:19" ht="15" thickBot="1">
      <c r="A21" s="79"/>
      <c r="B21" s="79"/>
      <c r="C21" s="79"/>
      <c r="D21" s="79"/>
      <c r="E21" s="79"/>
      <c r="F21" s="79"/>
      <c r="G21" s="79"/>
      <c r="H21" s="79"/>
      <c r="I21" s="79"/>
      <c r="J21" s="79"/>
      <c r="K21" s="79"/>
      <c r="L21" s="79"/>
      <c r="M21" s="79"/>
      <c r="N21" s="79"/>
      <c r="O21" s="79"/>
      <c r="P21" s="79"/>
      <c r="Q21" s="79"/>
      <c r="R21" s="79"/>
      <c r="S21" s="79"/>
    </row>
    <row r="22" spans="1:19">
      <c r="A22" s="861" t="s">
        <v>2832</v>
      </c>
      <c r="B22" s="862"/>
      <c r="C22" s="79"/>
      <c r="D22" s="848" t="str">
        <f>'FONDOS A LOS QUE PUEDE APLICAR'!D4</f>
        <v>NO</v>
      </c>
      <c r="E22" s="849"/>
      <c r="F22" s="79"/>
      <c r="G22" s="79"/>
      <c r="H22" s="79"/>
      <c r="I22" s="79"/>
      <c r="J22" s="79"/>
      <c r="K22" s="79"/>
      <c r="L22" s="79"/>
      <c r="M22" s="79"/>
      <c r="N22" s="79"/>
      <c r="O22" s="79"/>
      <c r="P22" s="79"/>
      <c r="Q22" s="79"/>
      <c r="R22" s="79"/>
      <c r="S22" s="79"/>
    </row>
    <row r="23" spans="1:19" ht="15" thickBot="1">
      <c r="A23" s="863"/>
      <c r="B23" s="864"/>
      <c r="C23" s="79"/>
      <c r="D23" s="850"/>
      <c r="E23" s="851"/>
      <c r="F23" s="79"/>
      <c r="G23" s="79"/>
      <c r="H23" s="79"/>
      <c r="I23" s="79"/>
      <c r="J23" s="79"/>
      <c r="K23" s="79"/>
      <c r="L23" s="79"/>
      <c r="M23" s="79"/>
      <c r="N23" s="79"/>
      <c r="O23" s="79"/>
      <c r="P23" s="79"/>
      <c r="Q23" s="79"/>
      <c r="R23" s="79"/>
      <c r="S23" s="79"/>
    </row>
    <row r="24" spans="1:19" ht="15" thickBot="1">
      <c r="A24" s="79"/>
      <c r="B24" s="79"/>
      <c r="C24" s="79"/>
      <c r="D24" s="79"/>
      <c r="E24" s="79"/>
      <c r="F24" s="79"/>
      <c r="G24" s="79"/>
      <c r="H24" s="79"/>
      <c r="I24" s="79"/>
      <c r="J24" s="79"/>
      <c r="K24" s="79"/>
      <c r="L24" s="79"/>
      <c r="M24" s="79"/>
      <c r="N24" s="79"/>
      <c r="O24" s="79"/>
      <c r="P24" s="79"/>
      <c r="Q24" s="79"/>
      <c r="R24" s="79"/>
      <c r="S24" s="79"/>
    </row>
    <row r="25" spans="1:19">
      <c r="A25" s="844" t="s">
        <v>2833</v>
      </c>
      <c r="B25" s="845"/>
      <c r="C25" s="79"/>
      <c r="D25" s="848" t="str">
        <f>'FONDOS A LOS QUE PUEDE APLICAR'!D5</f>
        <v>NO</v>
      </c>
      <c r="E25" s="849"/>
      <c r="F25" s="79"/>
      <c r="G25" s="79"/>
      <c r="H25" s="79"/>
      <c r="I25" s="79"/>
      <c r="J25" s="79"/>
      <c r="K25" s="79"/>
      <c r="L25" s="79"/>
      <c r="M25" s="79"/>
      <c r="N25" s="79"/>
      <c r="O25" s="79"/>
      <c r="P25" s="79"/>
      <c r="Q25" s="79"/>
      <c r="R25" s="79"/>
      <c r="S25" s="79"/>
    </row>
    <row r="26" spans="1:19" ht="15" thickBot="1">
      <c r="A26" s="846"/>
      <c r="B26" s="847"/>
      <c r="C26" s="79"/>
      <c r="D26" s="850"/>
      <c r="E26" s="851"/>
      <c r="F26" s="79"/>
      <c r="G26" s="79"/>
      <c r="H26" s="79"/>
      <c r="I26" s="79"/>
      <c r="J26" s="79"/>
      <c r="K26" s="79"/>
      <c r="L26" s="79"/>
      <c r="M26" s="79"/>
      <c r="N26" s="79"/>
      <c r="O26" s="79"/>
      <c r="P26" s="79"/>
      <c r="Q26" s="79"/>
      <c r="R26" s="79"/>
      <c r="S26" s="79"/>
    </row>
    <row r="27" spans="1:19" ht="15" thickBot="1">
      <c r="A27" s="79"/>
      <c r="B27" s="79"/>
      <c r="C27" s="79"/>
      <c r="D27" s="79"/>
      <c r="E27" s="79"/>
      <c r="F27" s="79"/>
      <c r="G27" s="79"/>
      <c r="H27" s="79"/>
      <c r="I27" s="79"/>
      <c r="J27" s="79"/>
      <c r="K27" s="79"/>
      <c r="L27" s="79"/>
      <c r="M27" s="79"/>
      <c r="N27" s="79"/>
      <c r="O27" s="79"/>
      <c r="P27" s="79"/>
      <c r="Q27" s="79"/>
      <c r="R27" s="79"/>
      <c r="S27" s="79"/>
    </row>
    <row r="28" spans="1:19" ht="14.5" customHeight="1">
      <c r="A28" s="844" t="s">
        <v>2834</v>
      </c>
      <c r="B28" s="845"/>
      <c r="C28" s="79"/>
      <c r="D28" s="848" t="str">
        <f>'FONDOS A LOS QUE PUEDE APLICAR'!D6</f>
        <v>NO</v>
      </c>
      <c r="E28" s="849"/>
      <c r="F28" s="79"/>
      <c r="G28" s="79"/>
      <c r="H28" s="79"/>
      <c r="I28" s="79"/>
      <c r="J28" s="79"/>
      <c r="K28" s="79"/>
      <c r="L28" s="79"/>
      <c r="M28" s="79"/>
      <c r="N28" s="79"/>
      <c r="O28" s="79"/>
      <c r="P28" s="79"/>
      <c r="Q28" s="79"/>
      <c r="R28" s="79"/>
      <c r="S28" s="79"/>
    </row>
    <row r="29" spans="1:19" ht="15" customHeight="1" thickBot="1">
      <c r="A29" s="846"/>
      <c r="B29" s="847"/>
      <c r="C29" s="79"/>
      <c r="D29" s="850"/>
      <c r="E29" s="851"/>
      <c r="F29" s="79"/>
      <c r="G29" s="79"/>
      <c r="H29" s="79"/>
      <c r="I29" s="79"/>
      <c r="J29" s="79"/>
      <c r="K29" s="79"/>
      <c r="L29" s="79"/>
      <c r="M29" s="79"/>
      <c r="N29" s="79"/>
      <c r="O29" s="79"/>
      <c r="P29" s="79"/>
      <c r="Q29" s="79"/>
      <c r="R29" s="79"/>
      <c r="S29" s="79"/>
    </row>
    <row r="30" spans="1:19">
      <c r="A30" s="79"/>
      <c r="B30" s="79"/>
      <c r="C30" s="79"/>
      <c r="D30" s="79"/>
      <c r="E30" s="79"/>
      <c r="F30" s="79"/>
      <c r="G30" s="79"/>
      <c r="H30" s="79"/>
      <c r="I30" s="79"/>
      <c r="J30" s="79"/>
      <c r="K30" s="79"/>
      <c r="L30" s="79"/>
      <c r="M30" s="79"/>
      <c r="N30" s="79"/>
      <c r="O30" s="79"/>
      <c r="P30" s="79"/>
      <c r="Q30" s="79"/>
      <c r="R30" s="79"/>
      <c r="S30" s="79"/>
    </row>
    <row r="31" spans="1:19">
      <c r="A31" s="79"/>
      <c r="B31" s="79"/>
      <c r="C31" s="79"/>
      <c r="D31" s="79"/>
      <c r="E31" s="79"/>
      <c r="F31" s="79"/>
      <c r="G31" s="79"/>
      <c r="H31" s="79"/>
      <c r="I31" s="79"/>
      <c r="J31" s="79"/>
      <c r="K31" s="79"/>
      <c r="L31" s="79"/>
      <c r="M31" s="79"/>
      <c r="N31" s="79"/>
      <c r="O31" s="79"/>
      <c r="P31" s="79"/>
      <c r="Q31" s="79"/>
      <c r="R31" s="79"/>
      <c r="S31" s="79"/>
    </row>
    <row r="32" spans="1:19">
      <c r="A32" s="79"/>
      <c r="B32" s="79"/>
      <c r="C32" s="79"/>
      <c r="D32" s="79"/>
      <c r="E32" s="79"/>
      <c r="F32" s="79"/>
      <c r="G32" s="79"/>
      <c r="H32" s="79"/>
      <c r="I32" s="79"/>
      <c r="J32" s="79"/>
      <c r="K32" s="79"/>
      <c r="L32" s="79"/>
      <c r="M32" s="79"/>
      <c r="N32" s="79"/>
      <c r="O32" s="79"/>
      <c r="P32" s="79"/>
      <c r="Q32" s="79"/>
      <c r="R32" s="79"/>
      <c r="S32" s="79"/>
    </row>
    <row r="33" spans="1:19">
      <c r="A33" s="79"/>
      <c r="B33" s="79"/>
      <c r="C33" s="79"/>
      <c r="D33" s="79"/>
      <c r="E33" s="79"/>
      <c r="F33" s="79"/>
      <c r="G33" s="79"/>
      <c r="H33" s="79"/>
      <c r="I33" s="79"/>
      <c r="J33" s="79"/>
      <c r="K33" s="79"/>
      <c r="L33" s="79"/>
      <c r="M33" s="79"/>
      <c r="N33" s="79"/>
      <c r="O33" s="79"/>
      <c r="P33" s="79"/>
      <c r="Q33" s="79"/>
      <c r="R33" s="79"/>
      <c r="S33" s="79"/>
    </row>
  </sheetData>
  <mergeCells count="13">
    <mergeCell ref="A28:B29"/>
    <mergeCell ref="D28:E29"/>
    <mergeCell ref="A1:Q2"/>
    <mergeCell ref="A10:E12"/>
    <mergeCell ref="A16:B17"/>
    <mergeCell ref="A19:B20"/>
    <mergeCell ref="A22:B23"/>
    <mergeCell ref="A25:B26"/>
    <mergeCell ref="D16:E17"/>
    <mergeCell ref="D19:E20"/>
    <mergeCell ref="D22:E23"/>
    <mergeCell ref="D25:E26"/>
    <mergeCell ref="A14:E1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FF43-B28B-413D-A54F-14DC3CF5AF82}">
  <dimension ref="A1:E6"/>
  <sheetViews>
    <sheetView topLeftCell="A3" workbookViewId="0">
      <selection activeCell="C6" sqref="C6"/>
    </sheetView>
  </sheetViews>
  <sheetFormatPr baseColWidth="10" defaultColWidth="11.453125" defaultRowHeight="14.5"/>
  <cols>
    <col min="2" max="2" width="59.453125" bestFit="1" customWidth="1"/>
    <col min="3" max="3" width="12.26953125" bestFit="1" customWidth="1"/>
    <col min="4" max="4" width="14.81640625" bestFit="1" customWidth="1"/>
    <col min="5" max="5" width="137.7265625" customWidth="1"/>
  </cols>
  <sheetData>
    <row r="1" spans="1:5">
      <c r="A1" s="7"/>
      <c r="B1" s="7" t="s">
        <v>2835</v>
      </c>
      <c r="C1" s="7" t="s">
        <v>2836</v>
      </c>
      <c r="D1" s="7" t="s">
        <v>2837</v>
      </c>
      <c r="E1" s="7" t="s">
        <v>2838</v>
      </c>
    </row>
    <row r="2" spans="1:5" ht="72.5">
      <c r="A2" s="38" t="s">
        <v>2839</v>
      </c>
      <c r="B2" s="38" t="str">
        <f>DATOS!B17</f>
        <v>URBANO</v>
      </c>
      <c r="C2" s="38" t="str">
        <f>DATOS!B19</f>
        <v>SIN</v>
      </c>
      <c r="D2" s="39" t="str">
        <f>IF(AND(B2="RURAL",C2="SIN"),"SI","NO")</f>
        <v>NO</v>
      </c>
      <c r="E2" s="40" t="s">
        <v>2840</v>
      </c>
    </row>
    <row r="3" spans="1:5" ht="72.5">
      <c r="A3" s="38" t="s">
        <v>2841</v>
      </c>
      <c r="B3" s="38" t="str">
        <f>DATOS!B19</f>
        <v>SIN</v>
      </c>
      <c r="C3" s="38" t="str">
        <f>DATOS!B23</f>
        <v>ESTRATO 4</v>
      </c>
      <c r="D3" s="39" t="str">
        <f>IF(AND(OR(C3="ESTRATO 1",C3="ESTRATO 2"),B3="ÁREAS ESPECIALES"),"SI","NO")</f>
        <v>NO</v>
      </c>
      <c r="E3" s="40" t="s">
        <v>2842</v>
      </c>
    </row>
    <row r="4" spans="1:5" ht="87">
      <c r="A4" s="38" t="s">
        <v>2843</v>
      </c>
      <c r="B4" s="38" t="str">
        <f>DATOS!B19</f>
        <v>SIN</v>
      </c>
      <c r="C4" s="38" t="str">
        <f>DATOS!B23</f>
        <v>ESTRATO 4</v>
      </c>
      <c r="D4" s="39" t="str">
        <f>IF(AND(OR(C4="ESTRATO 1",C4="ESTRATO 2",C4="ESTRATO 3"),B4="ZNI"),"SI","NO")</f>
        <v>NO</v>
      </c>
      <c r="E4" s="40" t="s">
        <v>2844</v>
      </c>
    </row>
    <row r="5" spans="1:5" ht="116">
      <c r="A5" s="38" t="s">
        <v>2845</v>
      </c>
      <c r="B5" s="38" t="str">
        <f>DATOS!B90</f>
        <v>Generador Distribuido Colectivo (sólo le interesa vender energía) - GDC</v>
      </c>
      <c r="C5" s="38" t="str">
        <f>DATOS!B23</f>
        <v>ESTRATO 4</v>
      </c>
      <c r="D5" s="39" t="str">
        <f>IF(AND(OR(C5="ESTRATO 1",C5="ESTRATO 2",C5="ESTRATO 3"),B5="Autogenerador Colectivo ( no le interesa vender energia) - AGRC"),"SI","NO")</f>
        <v>NO</v>
      </c>
      <c r="E5" s="40" t="s">
        <v>2846</v>
      </c>
    </row>
    <row r="6" spans="1:5" ht="116">
      <c r="A6" s="38" t="s">
        <v>2845</v>
      </c>
      <c r="B6" s="38" t="str">
        <f>DATOS!B90</f>
        <v>Generador Distribuido Colectivo (sólo le interesa vender energía) - GDC</v>
      </c>
      <c r="C6" s="38" t="str">
        <f>DATOS!B23</f>
        <v>ESTRATO 4</v>
      </c>
      <c r="D6" s="39" t="str">
        <f>IF(OR(C6="ESTRATO 1",C6="ESTRATO 2",C6="ESTRATO 3"),"SI","NO")</f>
        <v>NO</v>
      </c>
      <c r="E6" s="40" t="s">
        <v>2846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28784-18BD-4EAB-84CC-FA909619BA95}">
  <dimension ref="A1:G100"/>
  <sheetViews>
    <sheetView topLeftCell="A24" workbookViewId="0">
      <selection activeCell="C39" sqref="C39"/>
    </sheetView>
  </sheetViews>
  <sheetFormatPr baseColWidth="10" defaultColWidth="11.453125" defaultRowHeight="14.5"/>
  <cols>
    <col min="1" max="1" width="37.81640625" bestFit="1" customWidth="1"/>
  </cols>
  <sheetData>
    <row r="1" spans="1:7" ht="68">
      <c r="A1" s="122" t="s">
        <v>2847</v>
      </c>
      <c r="B1" s="123" t="s">
        <v>2848</v>
      </c>
      <c r="C1" s="124" t="s">
        <v>2849</v>
      </c>
      <c r="D1" s="124" t="s">
        <v>2850</v>
      </c>
      <c r="E1" s="124" t="s">
        <v>2851</v>
      </c>
      <c r="F1" s="124" t="s">
        <v>2852</v>
      </c>
      <c r="G1" s="124" t="s">
        <v>2853</v>
      </c>
    </row>
    <row r="2" spans="1:7" ht="15.5">
      <c r="A2" s="125" t="s">
        <v>2854</v>
      </c>
      <c r="B2" s="126">
        <v>58</v>
      </c>
      <c r="C2" s="126">
        <v>1.35</v>
      </c>
      <c r="D2" s="126" t="s">
        <v>2855</v>
      </c>
      <c r="E2" s="126" t="s">
        <v>2856</v>
      </c>
      <c r="F2" s="126" t="s">
        <v>2857</v>
      </c>
      <c r="G2" s="126" t="s">
        <v>2858</v>
      </c>
    </row>
    <row r="3" spans="1:7" ht="15.5">
      <c r="A3" s="127" t="s">
        <v>2859</v>
      </c>
      <c r="B3" s="128">
        <v>77</v>
      </c>
      <c r="C3" s="128">
        <v>1.23</v>
      </c>
      <c r="D3" s="128" t="s">
        <v>2860</v>
      </c>
      <c r="E3" s="128" t="s">
        <v>2861</v>
      </c>
      <c r="F3" s="128" t="s">
        <v>2862</v>
      </c>
      <c r="G3" s="128" t="s">
        <v>2863</v>
      </c>
    </row>
    <row r="4" spans="1:7" ht="15.5">
      <c r="A4" s="125" t="s">
        <v>2864</v>
      </c>
      <c r="B4" s="126">
        <v>21</v>
      </c>
      <c r="C4" s="126">
        <v>0.69</v>
      </c>
      <c r="D4" s="126" t="s">
        <v>2865</v>
      </c>
      <c r="E4" s="126" t="s">
        <v>2866</v>
      </c>
      <c r="F4" s="126" t="s">
        <v>2867</v>
      </c>
      <c r="G4" s="126" t="s">
        <v>2868</v>
      </c>
    </row>
    <row r="5" spans="1:7" ht="15.5">
      <c r="A5" s="127" t="s">
        <v>2869</v>
      </c>
      <c r="B5" s="128">
        <v>39</v>
      </c>
      <c r="C5" s="128">
        <v>1.02</v>
      </c>
      <c r="D5" s="128" t="s">
        <v>2870</v>
      </c>
      <c r="E5" s="128" t="s">
        <v>2871</v>
      </c>
      <c r="F5" s="128" t="s">
        <v>2872</v>
      </c>
      <c r="G5" s="128" t="s">
        <v>2873</v>
      </c>
    </row>
    <row r="6" spans="1:7" ht="15.5">
      <c r="A6" s="125" t="s">
        <v>2874</v>
      </c>
      <c r="B6" s="126">
        <v>31</v>
      </c>
      <c r="C6" s="126">
        <v>1.23</v>
      </c>
      <c r="D6" s="126" t="s">
        <v>2875</v>
      </c>
      <c r="E6" s="126" t="s">
        <v>2876</v>
      </c>
      <c r="F6" s="126" t="s">
        <v>2877</v>
      </c>
      <c r="G6" s="126" t="s">
        <v>2878</v>
      </c>
    </row>
    <row r="7" spans="1:7" ht="15.5">
      <c r="A7" s="127" t="s">
        <v>2879</v>
      </c>
      <c r="B7" s="128">
        <v>37</v>
      </c>
      <c r="C7" s="128">
        <v>1.2</v>
      </c>
      <c r="D7" s="128" t="s">
        <v>2880</v>
      </c>
      <c r="E7" s="128" t="s">
        <v>2881</v>
      </c>
      <c r="F7" s="128" t="s">
        <v>2882</v>
      </c>
      <c r="G7" s="128" t="s">
        <v>2883</v>
      </c>
    </row>
    <row r="8" spans="1:7" ht="15.5">
      <c r="A8" s="125" t="s">
        <v>2884</v>
      </c>
      <c r="B8" s="126">
        <v>7</v>
      </c>
      <c r="C8" s="126">
        <v>0.74</v>
      </c>
      <c r="D8" s="126" t="s">
        <v>2885</v>
      </c>
      <c r="E8" s="126" t="s">
        <v>2886</v>
      </c>
      <c r="F8" s="126" t="s">
        <v>2887</v>
      </c>
      <c r="G8" s="126" t="s">
        <v>2888</v>
      </c>
    </row>
    <row r="9" spans="1:7" ht="15.5">
      <c r="A9" s="127" t="s">
        <v>2889</v>
      </c>
      <c r="B9" s="128">
        <v>557</v>
      </c>
      <c r="C9" s="128">
        <v>0.41</v>
      </c>
      <c r="D9" s="128" t="s">
        <v>2890</v>
      </c>
      <c r="E9" s="128" t="s">
        <v>2891</v>
      </c>
      <c r="F9" s="128" t="s">
        <v>2892</v>
      </c>
      <c r="G9" s="128" t="s">
        <v>2893</v>
      </c>
    </row>
    <row r="10" spans="1:7" ht="15.5">
      <c r="A10" s="125" t="s">
        <v>2894</v>
      </c>
      <c r="B10" s="126">
        <v>23</v>
      </c>
      <c r="C10" s="126">
        <v>0.88</v>
      </c>
      <c r="D10" s="126" t="s">
        <v>2895</v>
      </c>
      <c r="E10" s="126" t="s">
        <v>2896</v>
      </c>
      <c r="F10" s="126" t="s">
        <v>2897</v>
      </c>
      <c r="G10" s="126" t="s">
        <v>2898</v>
      </c>
    </row>
    <row r="11" spans="1:7" ht="15.5">
      <c r="A11" s="127" t="s">
        <v>2899</v>
      </c>
      <c r="B11" s="128">
        <v>31</v>
      </c>
      <c r="C11" s="128">
        <v>1.2</v>
      </c>
      <c r="D11" s="128" t="s">
        <v>2900</v>
      </c>
      <c r="E11" s="128" t="s">
        <v>2901</v>
      </c>
      <c r="F11" s="128" t="s">
        <v>2902</v>
      </c>
      <c r="G11" s="128" t="s">
        <v>2878</v>
      </c>
    </row>
    <row r="12" spans="1:7" ht="15.5">
      <c r="A12" s="125" t="s">
        <v>2903</v>
      </c>
      <c r="B12" s="126">
        <v>26</v>
      </c>
      <c r="C12" s="126">
        <v>0.7</v>
      </c>
      <c r="D12" s="126" t="s">
        <v>2870</v>
      </c>
      <c r="E12" s="126" t="s">
        <v>2904</v>
      </c>
      <c r="F12" s="126" t="s">
        <v>2905</v>
      </c>
      <c r="G12" s="126" t="s">
        <v>2906</v>
      </c>
    </row>
    <row r="13" spans="1:7" ht="15.5">
      <c r="A13" s="127" t="s">
        <v>2907</v>
      </c>
      <c r="B13" s="128">
        <v>30</v>
      </c>
      <c r="C13" s="128">
        <v>0.69</v>
      </c>
      <c r="D13" s="128" t="s">
        <v>2908</v>
      </c>
      <c r="E13" s="128" t="s">
        <v>2909</v>
      </c>
      <c r="F13" s="128" t="s">
        <v>2910</v>
      </c>
      <c r="G13" s="128" t="s">
        <v>2911</v>
      </c>
    </row>
    <row r="14" spans="1:7" ht="15.5">
      <c r="A14" s="125" t="s">
        <v>2912</v>
      </c>
      <c r="B14" s="126">
        <v>45</v>
      </c>
      <c r="C14" s="126">
        <v>1.1000000000000001</v>
      </c>
      <c r="D14" s="126" t="s">
        <v>2913</v>
      </c>
      <c r="E14" s="126" t="s">
        <v>2914</v>
      </c>
      <c r="F14" s="126" t="s">
        <v>2915</v>
      </c>
      <c r="G14" s="126" t="s">
        <v>2916</v>
      </c>
    </row>
    <row r="15" spans="1:7" ht="15.5">
      <c r="A15" s="127" t="s">
        <v>2917</v>
      </c>
      <c r="B15" s="128">
        <v>164</v>
      </c>
      <c r="C15" s="128">
        <v>1.02</v>
      </c>
      <c r="D15" s="128" t="s">
        <v>2918</v>
      </c>
      <c r="E15" s="128" t="s">
        <v>2919</v>
      </c>
      <c r="F15" s="128" t="s">
        <v>2920</v>
      </c>
      <c r="G15" s="128" t="s">
        <v>2921</v>
      </c>
    </row>
    <row r="16" spans="1:7" ht="15.5">
      <c r="A16" s="125" t="s">
        <v>2922</v>
      </c>
      <c r="B16" s="126">
        <v>10</v>
      </c>
      <c r="C16" s="126">
        <v>0.71</v>
      </c>
      <c r="D16" s="126" t="s">
        <v>2923</v>
      </c>
      <c r="E16" s="126" t="s">
        <v>2924</v>
      </c>
      <c r="F16" s="126" t="s">
        <v>2925</v>
      </c>
      <c r="G16" s="126" t="s">
        <v>2926</v>
      </c>
    </row>
    <row r="17" spans="1:7" ht="15.5">
      <c r="A17" s="127" t="s">
        <v>2927</v>
      </c>
      <c r="B17" s="128">
        <v>38</v>
      </c>
      <c r="C17" s="128">
        <v>0.96</v>
      </c>
      <c r="D17" s="128" t="s">
        <v>2928</v>
      </c>
      <c r="E17" s="128" t="s">
        <v>2929</v>
      </c>
      <c r="F17" s="128" t="s">
        <v>2930</v>
      </c>
      <c r="G17" s="128" t="s">
        <v>2931</v>
      </c>
    </row>
    <row r="18" spans="1:7" ht="15.5">
      <c r="A18" s="125" t="s">
        <v>2932</v>
      </c>
      <c r="B18" s="126">
        <v>4</v>
      </c>
      <c r="C18" s="126">
        <v>1.0900000000000001</v>
      </c>
      <c r="D18" s="126" t="s">
        <v>2860</v>
      </c>
      <c r="E18" s="126" t="s">
        <v>2933</v>
      </c>
      <c r="F18" s="126" t="s">
        <v>2934</v>
      </c>
      <c r="G18" s="126" t="s">
        <v>2935</v>
      </c>
    </row>
    <row r="19" spans="1:7" ht="15.5">
      <c r="A19" s="127" t="s">
        <v>2936</v>
      </c>
      <c r="B19" s="128">
        <v>76</v>
      </c>
      <c r="C19" s="128">
        <v>1.1200000000000001</v>
      </c>
      <c r="D19" s="128" t="s">
        <v>2913</v>
      </c>
      <c r="E19" s="128" t="s">
        <v>2937</v>
      </c>
      <c r="F19" s="128" t="s">
        <v>2938</v>
      </c>
      <c r="G19" s="128" t="s">
        <v>2939</v>
      </c>
    </row>
    <row r="20" spans="1:7" ht="15.5">
      <c r="A20" s="125" t="s">
        <v>2940</v>
      </c>
      <c r="B20" s="126">
        <v>19</v>
      </c>
      <c r="C20" s="126">
        <v>1.43</v>
      </c>
      <c r="D20" s="126" t="s">
        <v>2925</v>
      </c>
      <c r="E20" s="126" t="s">
        <v>2941</v>
      </c>
      <c r="F20" s="126" t="s">
        <v>2942</v>
      </c>
      <c r="G20" s="126" t="s">
        <v>2943</v>
      </c>
    </row>
    <row r="21" spans="1:7" ht="15.5">
      <c r="A21" s="127" t="s">
        <v>2944</v>
      </c>
      <c r="B21" s="128">
        <v>80</v>
      </c>
      <c r="C21" s="128">
        <v>0.99</v>
      </c>
      <c r="D21" s="128" t="s">
        <v>2918</v>
      </c>
      <c r="E21" s="128" t="s">
        <v>2945</v>
      </c>
      <c r="F21" s="128" t="s">
        <v>2946</v>
      </c>
      <c r="G21" s="128" t="s">
        <v>2947</v>
      </c>
    </row>
    <row r="22" spans="1:7" ht="15.5">
      <c r="A22" s="125" t="s">
        <v>2948</v>
      </c>
      <c r="B22" s="126">
        <v>42</v>
      </c>
      <c r="C22" s="126">
        <v>1.23</v>
      </c>
      <c r="D22" s="126" t="s">
        <v>2949</v>
      </c>
      <c r="E22" s="126" t="s">
        <v>2950</v>
      </c>
      <c r="F22" s="126" t="s">
        <v>2951</v>
      </c>
      <c r="G22" s="126" t="s">
        <v>2952</v>
      </c>
    </row>
    <row r="23" spans="1:7" ht="15.5">
      <c r="A23" s="127" t="s">
        <v>2953</v>
      </c>
      <c r="B23" s="128">
        <v>49</v>
      </c>
      <c r="C23" s="128">
        <v>1.08</v>
      </c>
      <c r="D23" s="128" t="s">
        <v>2923</v>
      </c>
      <c r="E23" s="128" t="s">
        <v>2954</v>
      </c>
      <c r="F23" s="128" t="s">
        <v>2926</v>
      </c>
      <c r="G23" s="128" t="s">
        <v>2955</v>
      </c>
    </row>
    <row r="24" spans="1:7" ht="15.5">
      <c r="A24" s="125" t="s">
        <v>2956</v>
      </c>
      <c r="B24" s="126">
        <v>23</v>
      </c>
      <c r="C24" s="126">
        <v>0.94</v>
      </c>
      <c r="D24" s="126" t="s">
        <v>2957</v>
      </c>
      <c r="E24" s="126" t="s">
        <v>2958</v>
      </c>
      <c r="F24" s="126" t="s">
        <v>2959</v>
      </c>
      <c r="G24" s="126" t="s">
        <v>2960</v>
      </c>
    </row>
    <row r="25" spans="1:7" ht="15.5">
      <c r="A25" s="127" t="s">
        <v>2961</v>
      </c>
      <c r="B25" s="128">
        <v>598</v>
      </c>
      <c r="C25" s="128">
        <v>1.2</v>
      </c>
      <c r="D25" s="128" t="s">
        <v>2962</v>
      </c>
      <c r="E25" s="128" t="s">
        <v>2963</v>
      </c>
      <c r="F25" s="128" t="s">
        <v>2964</v>
      </c>
      <c r="G25" s="128" t="s">
        <v>2857</v>
      </c>
    </row>
    <row r="26" spans="1:7" ht="15.5">
      <c r="A26" s="125" t="s">
        <v>2965</v>
      </c>
      <c r="B26" s="126">
        <v>281</v>
      </c>
      <c r="C26" s="126">
        <v>1.18</v>
      </c>
      <c r="D26" s="126" t="s">
        <v>2966</v>
      </c>
      <c r="E26" s="126" t="s">
        <v>2967</v>
      </c>
      <c r="F26" s="126" t="s">
        <v>2968</v>
      </c>
      <c r="G26" s="126" t="s">
        <v>2969</v>
      </c>
    </row>
    <row r="27" spans="1:7" ht="15.5">
      <c r="A27" s="127" t="s">
        <v>2970</v>
      </c>
      <c r="B27" s="128">
        <v>33</v>
      </c>
      <c r="C27" s="128">
        <v>0.99</v>
      </c>
      <c r="D27" s="128" t="s">
        <v>2971</v>
      </c>
      <c r="E27" s="128" t="s">
        <v>2972</v>
      </c>
      <c r="F27" s="128" t="s">
        <v>2973</v>
      </c>
      <c r="G27" s="128" t="s">
        <v>2974</v>
      </c>
    </row>
    <row r="28" spans="1:7" ht="15.5">
      <c r="A28" s="125" t="s">
        <v>2975</v>
      </c>
      <c r="B28" s="126">
        <v>110</v>
      </c>
      <c r="C28" s="126">
        <v>1.43</v>
      </c>
      <c r="D28" s="126" t="s">
        <v>2976</v>
      </c>
      <c r="E28" s="126" t="s">
        <v>2977</v>
      </c>
      <c r="F28" s="126" t="s">
        <v>2978</v>
      </c>
      <c r="G28" s="126" t="s">
        <v>2979</v>
      </c>
    </row>
    <row r="29" spans="1:7" ht="15.5">
      <c r="A29" s="127" t="s">
        <v>2980</v>
      </c>
      <c r="B29" s="128">
        <v>16</v>
      </c>
      <c r="C29" s="128">
        <v>1.61</v>
      </c>
      <c r="D29" s="128" t="s">
        <v>2875</v>
      </c>
      <c r="E29" s="128" t="s">
        <v>2981</v>
      </c>
      <c r="F29" s="128" t="s">
        <v>2982</v>
      </c>
      <c r="G29" s="128" t="s">
        <v>2983</v>
      </c>
    </row>
    <row r="30" spans="1:7" ht="15.5">
      <c r="A30" s="125" t="s">
        <v>2984</v>
      </c>
      <c r="B30" s="126">
        <v>138</v>
      </c>
      <c r="C30" s="126">
        <v>1.1200000000000001</v>
      </c>
      <c r="D30" s="126" t="s">
        <v>2908</v>
      </c>
      <c r="E30" s="126" t="s">
        <v>2985</v>
      </c>
      <c r="F30" s="126" t="s">
        <v>2986</v>
      </c>
      <c r="G30" s="126" t="s">
        <v>2987</v>
      </c>
    </row>
    <row r="31" spans="1:7" ht="15.5">
      <c r="A31" s="127" t="s">
        <v>2988</v>
      </c>
      <c r="B31" s="128">
        <v>43</v>
      </c>
      <c r="C31" s="128">
        <v>1.02</v>
      </c>
      <c r="D31" s="128" t="s">
        <v>2908</v>
      </c>
      <c r="E31" s="128" t="s">
        <v>2989</v>
      </c>
      <c r="F31" s="128" t="s">
        <v>2990</v>
      </c>
      <c r="G31" s="128" t="s">
        <v>2991</v>
      </c>
    </row>
    <row r="32" spans="1:7" ht="15.5">
      <c r="A32" s="125" t="s">
        <v>2992</v>
      </c>
      <c r="B32" s="126">
        <v>110</v>
      </c>
      <c r="C32" s="126">
        <v>1.25</v>
      </c>
      <c r="D32" s="126" t="s">
        <v>2925</v>
      </c>
      <c r="E32" s="126" t="s">
        <v>2993</v>
      </c>
      <c r="F32" s="126" t="s">
        <v>2994</v>
      </c>
      <c r="G32" s="126" t="s">
        <v>2995</v>
      </c>
    </row>
    <row r="33" spans="1:7" ht="15.5">
      <c r="A33" s="127" t="s">
        <v>2996</v>
      </c>
      <c r="B33" s="128">
        <v>62</v>
      </c>
      <c r="C33" s="128">
        <v>0.86</v>
      </c>
      <c r="D33" s="128" t="s">
        <v>2997</v>
      </c>
      <c r="E33" s="128" t="s">
        <v>2998</v>
      </c>
      <c r="F33" s="128" t="s">
        <v>2987</v>
      </c>
      <c r="G33" s="128" t="s">
        <v>2999</v>
      </c>
    </row>
    <row r="34" spans="1:7" ht="15.5">
      <c r="A34" s="125" t="s">
        <v>3000</v>
      </c>
      <c r="B34" s="126">
        <v>39</v>
      </c>
      <c r="C34" s="126">
        <v>0.93</v>
      </c>
      <c r="D34" s="126" t="s">
        <v>3001</v>
      </c>
      <c r="E34" s="126" t="s">
        <v>3002</v>
      </c>
      <c r="F34" s="126" t="s">
        <v>3003</v>
      </c>
      <c r="G34" s="126" t="s">
        <v>3004</v>
      </c>
    </row>
    <row r="35" spans="1:7" ht="15.5">
      <c r="A35" s="127" t="s">
        <v>3005</v>
      </c>
      <c r="B35" s="128">
        <v>223</v>
      </c>
      <c r="C35" s="128">
        <v>0.11</v>
      </c>
      <c r="D35" s="128" t="s">
        <v>3006</v>
      </c>
      <c r="E35" s="128" t="s">
        <v>3007</v>
      </c>
      <c r="F35" s="128" t="s">
        <v>3008</v>
      </c>
      <c r="G35" s="128" t="s">
        <v>3009</v>
      </c>
    </row>
    <row r="36" spans="1:7" ht="15.5">
      <c r="A36" s="125" t="s">
        <v>3010</v>
      </c>
      <c r="B36" s="126">
        <v>92</v>
      </c>
      <c r="C36" s="126">
        <v>0.77</v>
      </c>
      <c r="D36" s="126" t="s">
        <v>3011</v>
      </c>
      <c r="E36" s="126" t="s">
        <v>3012</v>
      </c>
      <c r="F36" s="126" t="s">
        <v>3013</v>
      </c>
      <c r="G36" s="126" t="s">
        <v>3014</v>
      </c>
    </row>
    <row r="37" spans="1:7" ht="15.5">
      <c r="A37" s="127" t="s">
        <v>3015</v>
      </c>
      <c r="B37" s="128">
        <v>14</v>
      </c>
      <c r="C37" s="128">
        <v>0.85</v>
      </c>
      <c r="D37" s="128" t="s">
        <v>3016</v>
      </c>
      <c r="E37" s="128" t="s">
        <v>3017</v>
      </c>
      <c r="F37" s="128" t="s">
        <v>3018</v>
      </c>
      <c r="G37" s="128" t="s">
        <v>3019</v>
      </c>
    </row>
    <row r="38" spans="1:7" ht="15.5">
      <c r="A38" s="125" t="s">
        <v>3020</v>
      </c>
      <c r="B38" s="126">
        <v>32</v>
      </c>
      <c r="C38" s="126">
        <v>0.95</v>
      </c>
      <c r="D38" s="126" t="s">
        <v>2966</v>
      </c>
      <c r="E38" s="126" t="s">
        <v>3021</v>
      </c>
      <c r="F38" s="126" t="s">
        <v>3022</v>
      </c>
      <c r="G38" s="126" t="s">
        <v>3023</v>
      </c>
    </row>
    <row r="39" spans="1:7" ht="15.5">
      <c r="A39" s="129" t="s">
        <v>3024</v>
      </c>
      <c r="B39" s="130">
        <v>19</v>
      </c>
      <c r="C39" s="131">
        <v>0.88</v>
      </c>
      <c r="D39" s="130" t="s">
        <v>2910</v>
      </c>
      <c r="E39" s="130" t="s">
        <v>3025</v>
      </c>
      <c r="F39" s="130" t="s">
        <v>3026</v>
      </c>
      <c r="G39" s="130" t="s">
        <v>3027</v>
      </c>
    </row>
    <row r="40" spans="1:7" ht="15.5">
      <c r="A40" s="125" t="s">
        <v>3028</v>
      </c>
      <c r="B40" s="126">
        <v>254</v>
      </c>
      <c r="C40" s="126">
        <v>1.1000000000000001</v>
      </c>
      <c r="D40" s="126" t="s">
        <v>3029</v>
      </c>
      <c r="E40" s="126" t="s">
        <v>3030</v>
      </c>
      <c r="F40" s="126" t="s">
        <v>2921</v>
      </c>
      <c r="G40" s="126" t="s">
        <v>3031</v>
      </c>
    </row>
    <row r="41" spans="1:7" ht="15.5">
      <c r="A41" s="127" t="s">
        <v>3032</v>
      </c>
      <c r="B41" s="128">
        <v>131</v>
      </c>
      <c r="C41" s="128">
        <v>1.07</v>
      </c>
      <c r="D41" s="128" t="s">
        <v>3029</v>
      </c>
      <c r="E41" s="128" t="s">
        <v>3033</v>
      </c>
      <c r="F41" s="128" t="s">
        <v>3034</v>
      </c>
      <c r="G41" s="128" t="s">
        <v>3035</v>
      </c>
    </row>
    <row r="42" spans="1:7" ht="15.5">
      <c r="A42" s="125" t="s">
        <v>3036</v>
      </c>
      <c r="B42" s="126">
        <v>138</v>
      </c>
      <c r="C42" s="126">
        <v>1.37</v>
      </c>
      <c r="D42" s="126" t="s">
        <v>2880</v>
      </c>
      <c r="E42" s="126" t="s">
        <v>3037</v>
      </c>
      <c r="F42" s="126" t="s">
        <v>3038</v>
      </c>
      <c r="G42" s="126" t="s">
        <v>3039</v>
      </c>
    </row>
    <row r="43" spans="1:7" ht="15.5">
      <c r="A43" s="127" t="s">
        <v>3040</v>
      </c>
      <c r="B43" s="128">
        <v>32</v>
      </c>
      <c r="C43" s="128">
        <v>1.33</v>
      </c>
      <c r="D43" s="128" t="s">
        <v>3041</v>
      </c>
      <c r="E43" s="128" t="s">
        <v>3042</v>
      </c>
      <c r="F43" s="128" t="s">
        <v>3043</v>
      </c>
      <c r="G43" s="128" t="s">
        <v>3044</v>
      </c>
    </row>
    <row r="44" spans="1:7" ht="15.5">
      <c r="A44" s="125" t="s">
        <v>3045</v>
      </c>
      <c r="B44" s="126">
        <v>34</v>
      </c>
      <c r="C44" s="126">
        <v>0.72</v>
      </c>
      <c r="D44" s="126" t="s">
        <v>2918</v>
      </c>
      <c r="E44" s="126" t="s">
        <v>2950</v>
      </c>
      <c r="F44" s="126" t="s">
        <v>3046</v>
      </c>
      <c r="G44" s="126" t="s">
        <v>2863</v>
      </c>
    </row>
    <row r="45" spans="1:7" ht="15.5">
      <c r="A45" s="127" t="s">
        <v>3047</v>
      </c>
      <c r="B45" s="128">
        <v>69</v>
      </c>
      <c r="C45" s="128">
        <v>1.06</v>
      </c>
      <c r="D45" s="128" t="s">
        <v>3048</v>
      </c>
      <c r="E45" s="128" t="s">
        <v>3049</v>
      </c>
      <c r="F45" s="128" t="s">
        <v>3050</v>
      </c>
      <c r="G45" s="128" t="s">
        <v>3026</v>
      </c>
    </row>
    <row r="46" spans="1:7" ht="15.5">
      <c r="A46" s="125" t="s">
        <v>3051</v>
      </c>
      <c r="B46" s="126">
        <v>127</v>
      </c>
      <c r="C46" s="126">
        <v>1.06</v>
      </c>
      <c r="D46" s="126" t="s">
        <v>3029</v>
      </c>
      <c r="E46" s="126" t="s">
        <v>3052</v>
      </c>
      <c r="F46" s="126" t="s">
        <v>3053</v>
      </c>
      <c r="G46" s="126" t="s">
        <v>3054</v>
      </c>
    </row>
    <row r="47" spans="1:7" ht="15.5">
      <c r="A47" s="127" t="s">
        <v>3055</v>
      </c>
      <c r="B47" s="128">
        <v>73</v>
      </c>
      <c r="C47" s="128">
        <v>1.33</v>
      </c>
      <c r="D47" s="128" t="s">
        <v>3056</v>
      </c>
      <c r="E47" s="128" t="s">
        <v>3057</v>
      </c>
      <c r="F47" s="128" t="s">
        <v>3058</v>
      </c>
      <c r="G47" s="128" t="s">
        <v>3059</v>
      </c>
    </row>
    <row r="48" spans="1:7" ht="15.5">
      <c r="A48" s="125" t="s">
        <v>3060</v>
      </c>
      <c r="B48" s="126">
        <v>21</v>
      </c>
      <c r="C48" s="126">
        <v>1.03</v>
      </c>
      <c r="D48" s="126" t="s">
        <v>3061</v>
      </c>
      <c r="E48" s="126" t="s">
        <v>3062</v>
      </c>
      <c r="F48" s="126" t="s">
        <v>3063</v>
      </c>
      <c r="G48" s="126" t="s">
        <v>3064</v>
      </c>
    </row>
    <row r="49" spans="1:7" ht="15.5">
      <c r="A49" s="127" t="s">
        <v>3065</v>
      </c>
      <c r="B49" s="128">
        <v>27</v>
      </c>
      <c r="C49" s="128">
        <v>0.67</v>
      </c>
      <c r="D49" s="128" t="s">
        <v>3066</v>
      </c>
      <c r="E49" s="128" t="s">
        <v>3067</v>
      </c>
      <c r="F49" s="128" t="s">
        <v>3068</v>
      </c>
      <c r="G49" s="128" t="s">
        <v>3069</v>
      </c>
    </row>
    <row r="50" spans="1:7" ht="15.5">
      <c r="A50" s="125" t="s">
        <v>3070</v>
      </c>
      <c r="B50" s="126">
        <v>51</v>
      </c>
      <c r="C50" s="126">
        <v>0.73</v>
      </c>
      <c r="D50" s="126" t="s">
        <v>3071</v>
      </c>
      <c r="E50" s="126" t="s">
        <v>3072</v>
      </c>
      <c r="F50" s="126" t="s">
        <v>3073</v>
      </c>
      <c r="G50" s="126" t="s">
        <v>3074</v>
      </c>
    </row>
    <row r="51" spans="1:7" ht="15.5">
      <c r="A51" s="127" t="s">
        <v>3075</v>
      </c>
      <c r="B51" s="128">
        <v>600</v>
      </c>
      <c r="C51" s="128">
        <v>0.54</v>
      </c>
      <c r="D51" s="128" t="s">
        <v>3076</v>
      </c>
      <c r="E51" s="128" t="s">
        <v>3077</v>
      </c>
      <c r="F51" s="128" t="s">
        <v>3078</v>
      </c>
      <c r="G51" s="128" t="s">
        <v>3079</v>
      </c>
    </row>
    <row r="52" spans="1:7" ht="15.5">
      <c r="A52" s="125" t="s">
        <v>3080</v>
      </c>
      <c r="B52" s="126">
        <v>116</v>
      </c>
      <c r="C52" s="126">
        <v>1.0900000000000001</v>
      </c>
      <c r="D52" s="126" t="s">
        <v>3081</v>
      </c>
      <c r="E52" s="126" t="s">
        <v>3082</v>
      </c>
      <c r="F52" s="126" t="s">
        <v>3083</v>
      </c>
      <c r="G52" s="126" t="s">
        <v>3084</v>
      </c>
    </row>
    <row r="53" spans="1:7" ht="15.5">
      <c r="A53" s="127" t="s">
        <v>3085</v>
      </c>
      <c r="B53" s="128">
        <v>68</v>
      </c>
      <c r="C53" s="128">
        <v>1.22</v>
      </c>
      <c r="D53" s="128" t="s">
        <v>2949</v>
      </c>
      <c r="E53" s="128" t="s">
        <v>3086</v>
      </c>
      <c r="F53" s="128" t="s">
        <v>3087</v>
      </c>
      <c r="G53" s="128" t="s">
        <v>3088</v>
      </c>
    </row>
    <row r="54" spans="1:7" ht="15.5">
      <c r="A54" s="125" t="s">
        <v>3089</v>
      </c>
      <c r="B54" s="126">
        <v>16</v>
      </c>
      <c r="C54" s="126">
        <v>0.84</v>
      </c>
      <c r="D54" s="126" t="s">
        <v>3090</v>
      </c>
      <c r="E54" s="126" t="s">
        <v>3091</v>
      </c>
      <c r="F54" s="126" t="s">
        <v>3092</v>
      </c>
      <c r="G54" s="126" t="s">
        <v>3093</v>
      </c>
    </row>
    <row r="55" spans="1:7" ht="15.5">
      <c r="A55" s="127" t="s">
        <v>3094</v>
      </c>
      <c r="B55" s="128">
        <v>4</v>
      </c>
      <c r="C55" s="128">
        <v>0.95</v>
      </c>
      <c r="D55" s="128" t="s">
        <v>3095</v>
      </c>
      <c r="E55" s="128" t="s">
        <v>3096</v>
      </c>
      <c r="F55" s="128" t="s">
        <v>3097</v>
      </c>
      <c r="G55" s="128" t="s">
        <v>3098</v>
      </c>
    </row>
    <row r="56" spans="1:7" ht="15.5">
      <c r="A56" s="125" t="s">
        <v>3099</v>
      </c>
      <c r="B56" s="126">
        <v>174</v>
      </c>
      <c r="C56" s="126">
        <v>1.1399999999999999</v>
      </c>
      <c r="D56" s="126" t="s">
        <v>2923</v>
      </c>
      <c r="E56" s="126" t="s">
        <v>3100</v>
      </c>
      <c r="F56" s="126" t="s">
        <v>3101</v>
      </c>
      <c r="G56" s="126" t="s">
        <v>3102</v>
      </c>
    </row>
    <row r="57" spans="1:7" ht="15.5">
      <c r="A57" s="127" t="s">
        <v>3103</v>
      </c>
      <c r="B57" s="128">
        <v>23</v>
      </c>
      <c r="C57" s="128">
        <v>0.66</v>
      </c>
      <c r="D57" s="128" t="s">
        <v>3104</v>
      </c>
      <c r="E57" s="128" t="s">
        <v>3105</v>
      </c>
      <c r="F57" s="128" t="s">
        <v>3106</v>
      </c>
      <c r="G57" s="128" t="s">
        <v>3107</v>
      </c>
    </row>
    <row r="58" spans="1:7" ht="15.5">
      <c r="A58" s="125" t="s">
        <v>3108</v>
      </c>
      <c r="B58" s="126">
        <v>101</v>
      </c>
      <c r="C58" s="126">
        <v>1.19</v>
      </c>
      <c r="D58" s="126" t="s">
        <v>3109</v>
      </c>
      <c r="E58" s="126" t="s">
        <v>3110</v>
      </c>
      <c r="F58" s="126" t="s">
        <v>3111</v>
      </c>
      <c r="G58" s="126" t="s">
        <v>3112</v>
      </c>
    </row>
    <row r="59" spans="1:7" ht="15.5">
      <c r="A59" s="127" t="s">
        <v>3113</v>
      </c>
      <c r="B59" s="128">
        <v>25</v>
      </c>
      <c r="C59" s="128">
        <v>0.67</v>
      </c>
      <c r="D59" s="128" t="s">
        <v>3114</v>
      </c>
      <c r="E59" s="128" t="s">
        <v>3115</v>
      </c>
      <c r="F59" s="128" t="s">
        <v>3116</v>
      </c>
      <c r="G59" s="128" t="s">
        <v>3117</v>
      </c>
    </row>
    <row r="60" spans="1:7" ht="15.5">
      <c r="A60" s="125" t="s">
        <v>3118</v>
      </c>
      <c r="B60" s="126">
        <v>7</v>
      </c>
      <c r="C60" s="126">
        <v>1.1299999999999999</v>
      </c>
      <c r="D60" s="126" t="s">
        <v>3109</v>
      </c>
      <c r="E60" s="126" t="s">
        <v>3119</v>
      </c>
      <c r="F60" s="126" t="s">
        <v>3120</v>
      </c>
      <c r="G60" s="126" t="s">
        <v>2964</v>
      </c>
    </row>
    <row r="61" spans="1:7" ht="15.5">
      <c r="A61" s="127" t="s">
        <v>3121</v>
      </c>
      <c r="B61" s="128">
        <v>48</v>
      </c>
      <c r="C61" s="128">
        <v>0.46</v>
      </c>
      <c r="D61" s="128" t="s">
        <v>3122</v>
      </c>
      <c r="E61" s="128" t="s">
        <v>3123</v>
      </c>
      <c r="F61" s="128" t="s">
        <v>3090</v>
      </c>
      <c r="G61" s="128" t="s">
        <v>3124</v>
      </c>
    </row>
    <row r="62" spans="1:7" ht="15.5">
      <c r="A62" s="125" t="s">
        <v>3125</v>
      </c>
      <c r="B62" s="126">
        <v>74</v>
      </c>
      <c r="C62" s="126">
        <v>1.19</v>
      </c>
      <c r="D62" s="126" t="s">
        <v>3061</v>
      </c>
      <c r="E62" s="126" t="s">
        <v>3126</v>
      </c>
      <c r="F62" s="126" t="s">
        <v>3127</v>
      </c>
      <c r="G62" s="126" t="s">
        <v>3128</v>
      </c>
    </row>
    <row r="63" spans="1:7" ht="15.5">
      <c r="A63" s="127" t="s">
        <v>3129</v>
      </c>
      <c r="B63" s="128">
        <v>20</v>
      </c>
      <c r="C63" s="128">
        <v>0.91</v>
      </c>
      <c r="D63" s="128" t="s">
        <v>3130</v>
      </c>
      <c r="E63" s="128" t="s">
        <v>3131</v>
      </c>
      <c r="F63" s="128" t="s">
        <v>3132</v>
      </c>
      <c r="G63" s="128" t="s">
        <v>3133</v>
      </c>
    </row>
    <row r="64" spans="1:7" ht="15.5">
      <c r="A64" s="125" t="s">
        <v>3134</v>
      </c>
      <c r="B64" s="126">
        <v>223</v>
      </c>
      <c r="C64" s="126">
        <v>0.69</v>
      </c>
      <c r="D64" s="126" t="s">
        <v>3135</v>
      </c>
      <c r="E64" s="126" t="s">
        <v>3136</v>
      </c>
      <c r="F64" s="126" t="s">
        <v>2865</v>
      </c>
      <c r="G64" s="126" t="s">
        <v>3137</v>
      </c>
    </row>
    <row r="65" spans="1:7" ht="15.5">
      <c r="A65" s="127" t="s">
        <v>3138</v>
      </c>
      <c r="B65" s="128">
        <v>18</v>
      </c>
      <c r="C65" s="128">
        <v>0.88</v>
      </c>
      <c r="D65" s="128" t="s">
        <v>3139</v>
      </c>
      <c r="E65" s="128" t="s">
        <v>3140</v>
      </c>
      <c r="F65" s="128" t="s">
        <v>3141</v>
      </c>
      <c r="G65" s="128" t="s">
        <v>3142</v>
      </c>
    </row>
    <row r="66" spans="1:7" ht="15.5">
      <c r="A66" s="125" t="s">
        <v>3143</v>
      </c>
      <c r="B66" s="126">
        <v>12</v>
      </c>
      <c r="C66" s="126">
        <v>0.66</v>
      </c>
      <c r="D66" s="126" t="s">
        <v>3144</v>
      </c>
      <c r="E66" s="126" t="s">
        <v>3145</v>
      </c>
      <c r="F66" s="126" t="s">
        <v>2915</v>
      </c>
      <c r="G66" s="126" t="s">
        <v>2938</v>
      </c>
    </row>
    <row r="67" spans="1:7" ht="15.5">
      <c r="A67" s="127" t="s">
        <v>3146</v>
      </c>
      <c r="B67" s="128">
        <v>60</v>
      </c>
      <c r="C67" s="128">
        <v>0.81</v>
      </c>
      <c r="D67" s="128" t="s">
        <v>3147</v>
      </c>
      <c r="E67" s="128" t="s">
        <v>3148</v>
      </c>
      <c r="F67" s="128" t="s">
        <v>3064</v>
      </c>
      <c r="G67" s="128" t="s">
        <v>3149</v>
      </c>
    </row>
    <row r="68" spans="1:7" ht="15.5">
      <c r="A68" s="125" t="s">
        <v>3150</v>
      </c>
      <c r="B68" s="126">
        <v>57</v>
      </c>
      <c r="C68" s="126">
        <v>1.08</v>
      </c>
      <c r="D68" s="126" t="s">
        <v>2865</v>
      </c>
      <c r="E68" s="126" t="s">
        <v>3151</v>
      </c>
      <c r="F68" s="126" t="s">
        <v>3152</v>
      </c>
      <c r="G68" s="126" t="s">
        <v>3153</v>
      </c>
    </row>
    <row r="69" spans="1:7" ht="15.5">
      <c r="A69" s="127" t="s">
        <v>3154</v>
      </c>
      <c r="B69" s="128">
        <v>1</v>
      </c>
      <c r="C69" s="128">
        <v>0.83</v>
      </c>
      <c r="D69" s="128" t="s">
        <v>3155</v>
      </c>
      <c r="E69" s="128" t="s">
        <v>3156</v>
      </c>
      <c r="F69" s="128" t="s">
        <v>3157</v>
      </c>
      <c r="G69" s="128" t="s">
        <v>3157</v>
      </c>
    </row>
    <row r="70" spans="1:7" ht="15.5">
      <c r="A70" s="125" t="s">
        <v>3158</v>
      </c>
      <c r="B70" s="126">
        <v>70</v>
      </c>
      <c r="C70" s="126">
        <v>1.17</v>
      </c>
      <c r="D70" s="126" t="s">
        <v>2860</v>
      </c>
      <c r="E70" s="126" t="s">
        <v>3159</v>
      </c>
      <c r="F70" s="126" t="s">
        <v>3160</v>
      </c>
      <c r="G70" s="126" t="s">
        <v>3161</v>
      </c>
    </row>
    <row r="71" spans="1:7" ht="15.5">
      <c r="A71" s="127" t="s">
        <v>3162</v>
      </c>
      <c r="B71" s="128">
        <v>30</v>
      </c>
      <c r="C71" s="128">
        <v>1.08</v>
      </c>
      <c r="D71" s="128" t="s">
        <v>3139</v>
      </c>
      <c r="E71" s="128" t="s">
        <v>3163</v>
      </c>
      <c r="F71" s="128" t="s">
        <v>3132</v>
      </c>
      <c r="G71" s="128" t="s">
        <v>3164</v>
      </c>
    </row>
    <row r="72" spans="1:7" ht="15.5">
      <c r="A72" s="125" t="s">
        <v>3165</v>
      </c>
      <c r="B72" s="126">
        <v>15</v>
      </c>
      <c r="C72" s="126">
        <v>1.57</v>
      </c>
      <c r="D72" s="126" t="s">
        <v>3166</v>
      </c>
      <c r="E72" s="126" t="s">
        <v>3167</v>
      </c>
      <c r="F72" s="126" t="s">
        <v>3107</v>
      </c>
      <c r="G72" s="126" t="s">
        <v>3168</v>
      </c>
    </row>
    <row r="73" spans="1:7" ht="15.5">
      <c r="A73" s="127" t="s">
        <v>3169</v>
      </c>
      <c r="B73" s="128">
        <v>69</v>
      </c>
      <c r="C73" s="128">
        <v>1.01</v>
      </c>
      <c r="D73" s="128" t="s">
        <v>2913</v>
      </c>
      <c r="E73" s="128" t="s">
        <v>3170</v>
      </c>
      <c r="F73" s="128" t="s">
        <v>3132</v>
      </c>
      <c r="G73" s="128" t="s">
        <v>3171</v>
      </c>
    </row>
    <row r="74" spans="1:7" ht="15.5">
      <c r="A74" s="125" t="s">
        <v>3172</v>
      </c>
      <c r="B74" s="126">
        <v>15</v>
      </c>
      <c r="C74" s="126">
        <v>1.22</v>
      </c>
      <c r="D74" s="126" t="s">
        <v>3116</v>
      </c>
      <c r="E74" s="126" t="s">
        <v>3173</v>
      </c>
      <c r="F74" s="126" t="s">
        <v>3174</v>
      </c>
      <c r="G74" s="126" t="s">
        <v>2872</v>
      </c>
    </row>
    <row r="75" spans="1:7" ht="15.5">
      <c r="A75" s="127" t="s">
        <v>3175</v>
      </c>
      <c r="B75" s="128">
        <v>13</v>
      </c>
      <c r="C75" s="128">
        <v>0.47</v>
      </c>
      <c r="D75" s="128" t="s">
        <v>3176</v>
      </c>
      <c r="E75" s="128" t="s">
        <v>3177</v>
      </c>
      <c r="F75" s="128" t="s">
        <v>3178</v>
      </c>
      <c r="G75" s="128" t="s">
        <v>3179</v>
      </c>
    </row>
    <row r="76" spans="1:7" ht="15.5">
      <c r="A76" s="125" t="s">
        <v>3180</v>
      </c>
      <c r="B76" s="126">
        <v>63</v>
      </c>
      <c r="C76" s="126">
        <v>1.36</v>
      </c>
      <c r="D76" s="126" t="s">
        <v>3181</v>
      </c>
      <c r="E76" s="126" t="s">
        <v>3182</v>
      </c>
      <c r="F76" s="126" t="s">
        <v>3183</v>
      </c>
      <c r="G76" s="126" t="s">
        <v>3184</v>
      </c>
    </row>
    <row r="77" spans="1:7" ht="15.5">
      <c r="A77" s="127" t="s">
        <v>3185</v>
      </c>
      <c r="B77" s="128">
        <v>78</v>
      </c>
      <c r="C77" s="128">
        <v>1.19</v>
      </c>
      <c r="D77" s="128" t="s">
        <v>3186</v>
      </c>
      <c r="E77" s="128" t="s">
        <v>3187</v>
      </c>
      <c r="F77" s="128" t="s">
        <v>3188</v>
      </c>
      <c r="G77" s="128" t="s">
        <v>3189</v>
      </c>
    </row>
    <row r="78" spans="1:7" ht="15.5">
      <c r="A78" s="125" t="s">
        <v>3190</v>
      </c>
      <c r="B78" s="126">
        <v>3</v>
      </c>
      <c r="C78" s="126">
        <v>0.27</v>
      </c>
      <c r="D78" s="126" t="s">
        <v>3191</v>
      </c>
      <c r="E78" s="126" t="s">
        <v>3192</v>
      </c>
      <c r="F78" s="126" t="s">
        <v>3130</v>
      </c>
      <c r="G78" s="126" t="s">
        <v>3058</v>
      </c>
    </row>
    <row r="79" spans="1:7" ht="15.5">
      <c r="A79" s="127" t="s">
        <v>3193</v>
      </c>
      <c r="B79" s="128">
        <v>68</v>
      </c>
      <c r="C79" s="128">
        <v>1.53</v>
      </c>
      <c r="D79" s="128" t="s">
        <v>3194</v>
      </c>
      <c r="E79" s="128" t="s">
        <v>3195</v>
      </c>
      <c r="F79" s="128" t="s">
        <v>3188</v>
      </c>
      <c r="G79" s="128" t="s">
        <v>3196</v>
      </c>
    </row>
    <row r="80" spans="1:7" ht="15.5">
      <c r="A80" s="125" t="s">
        <v>3197</v>
      </c>
      <c r="B80" s="126">
        <v>30</v>
      </c>
      <c r="C80" s="126">
        <v>1.69</v>
      </c>
      <c r="D80" s="126" t="s">
        <v>3198</v>
      </c>
      <c r="E80" s="126" t="s">
        <v>3199</v>
      </c>
      <c r="F80" s="126" t="s">
        <v>3200</v>
      </c>
      <c r="G80" s="126" t="s">
        <v>3171</v>
      </c>
    </row>
    <row r="81" spans="1:7" ht="15.5">
      <c r="A81" s="127" t="s">
        <v>3201</v>
      </c>
      <c r="B81" s="128">
        <v>8</v>
      </c>
      <c r="C81" s="128">
        <v>0.78</v>
      </c>
      <c r="D81" s="128" t="s">
        <v>3066</v>
      </c>
      <c r="E81" s="128" t="s">
        <v>3202</v>
      </c>
      <c r="F81" s="128" t="s">
        <v>3203</v>
      </c>
      <c r="G81" s="128" t="s">
        <v>3204</v>
      </c>
    </row>
    <row r="82" spans="1:7" ht="15.5">
      <c r="A82" s="125" t="s">
        <v>3205</v>
      </c>
      <c r="B82" s="126">
        <v>13</v>
      </c>
      <c r="C82" s="126">
        <v>1.29</v>
      </c>
      <c r="D82" s="126" t="s">
        <v>3206</v>
      </c>
      <c r="E82" s="126" t="s">
        <v>3207</v>
      </c>
      <c r="F82" s="126" t="s">
        <v>3003</v>
      </c>
      <c r="G82" s="126" t="s">
        <v>2897</v>
      </c>
    </row>
    <row r="83" spans="1:7" ht="15.5">
      <c r="A83" s="127" t="s">
        <v>3208</v>
      </c>
      <c r="B83" s="128">
        <v>91</v>
      </c>
      <c r="C83" s="128">
        <v>1.36</v>
      </c>
      <c r="D83" s="128" t="s">
        <v>3116</v>
      </c>
      <c r="E83" s="128" t="s">
        <v>3209</v>
      </c>
      <c r="F83" s="128" t="s">
        <v>3210</v>
      </c>
      <c r="G83" s="128" t="s">
        <v>3211</v>
      </c>
    </row>
    <row r="84" spans="1:7" ht="15.5">
      <c r="A84" s="125" t="s">
        <v>3212</v>
      </c>
      <c r="B84" s="126">
        <v>33</v>
      </c>
      <c r="C84" s="126">
        <v>1.42</v>
      </c>
      <c r="D84" s="126" t="s">
        <v>3213</v>
      </c>
      <c r="E84" s="126" t="s">
        <v>3214</v>
      </c>
      <c r="F84" s="126" t="s">
        <v>3120</v>
      </c>
      <c r="G84" s="126" t="s">
        <v>3215</v>
      </c>
    </row>
    <row r="85" spans="1:7" ht="15.5">
      <c r="A85" s="127" t="s">
        <v>3216</v>
      </c>
      <c r="B85" s="128">
        <v>390</v>
      </c>
      <c r="C85" s="128">
        <v>1.41</v>
      </c>
      <c r="D85" s="128" t="s">
        <v>2880</v>
      </c>
      <c r="E85" s="128" t="s">
        <v>3217</v>
      </c>
      <c r="F85" s="128" t="s">
        <v>3218</v>
      </c>
      <c r="G85" s="128" t="s">
        <v>3219</v>
      </c>
    </row>
    <row r="86" spans="1:7" ht="15.5">
      <c r="A86" s="125" t="s">
        <v>3220</v>
      </c>
      <c r="B86" s="126">
        <v>28</v>
      </c>
      <c r="C86" s="126">
        <v>1.21</v>
      </c>
      <c r="D86" s="126" t="s">
        <v>3221</v>
      </c>
      <c r="E86" s="126" t="s">
        <v>3222</v>
      </c>
      <c r="F86" s="126" t="s">
        <v>3098</v>
      </c>
      <c r="G86" s="126" t="s">
        <v>3031</v>
      </c>
    </row>
    <row r="87" spans="1:7" ht="15.5">
      <c r="A87" s="127" t="s">
        <v>3223</v>
      </c>
      <c r="B87" s="128">
        <v>16</v>
      </c>
      <c r="C87" s="128">
        <v>0.71</v>
      </c>
      <c r="D87" s="128" t="s">
        <v>3224</v>
      </c>
      <c r="E87" s="128" t="s">
        <v>3225</v>
      </c>
      <c r="F87" s="128" t="s">
        <v>3226</v>
      </c>
      <c r="G87" s="128" t="s">
        <v>3183</v>
      </c>
    </row>
    <row r="88" spans="1:7" ht="15.5">
      <c r="A88" s="125" t="s">
        <v>3227</v>
      </c>
      <c r="B88" s="126">
        <v>79</v>
      </c>
      <c r="C88" s="126">
        <v>1.18</v>
      </c>
      <c r="D88" s="126" t="s">
        <v>3061</v>
      </c>
      <c r="E88" s="126" t="s">
        <v>3228</v>
      </c>
      <c r="F88" s="126" t="s">
        <v>3161</v>
      </c>
      <c r="G88" s="126" t="s">
        <v>3229</v>
      </c>
    </row>
    <row r="89" spans="1:7" ht="15.5">
      <c r="A89" s="127" t="s">
        <v>3230</v>
      </c>
      <c r="B89" s="128">
        <v>49</v>
      </c>
      <c r="C89" s="128">
        <v>0.47</v>
      </c>
      <c r="D89" s="128" t="s">
        <v>3231</v>
      </c>
      <c r="E89" s="128" t="s">
        <v>3232</v>
      </c>
      <c r="F89" s="128" t="s">
        <v>3233</v>
      </c>
      <c r="G89" s="128" t="s">
        <v>3234</v>
      </c>
    </row>
    <row r="90" spans="1:7" ht="15.5">
      <c r="A90" s="125" t="s">
        <v>3235</v>
      </c>
      <c r="B90" s="126">
        <v>15</v>
      </c>
      <c r="C90" s="126">
        <v>1.74</v>
      </c>
      <c r="D90" s="126" t="s">
        <v>3236</v>
      </c>
      <c r="E90" s="126" t="s">
        <v>3237</v>
      </c>
      <c r="F90" s="126" t="s">
        <v>3238</v>
      </c>
      <c r="G90" s="126" t="s">
        <v>3239</v>
      </c>
    </row>
    <row r="91" spans="1:7" ht="15.5">
      <c r="A91" s="127" t="s">
        <v>3240</v>
      </c>
      <c r="B91" s="128">
        <v>18</v>
      </c>
      <c r="C91" s="128">
        <v>0.92</v>
      </c>
      <c r="D91" s="128" t="s">
        <v>3135</v>
      </c>
      <c r="E91" s="128" t="s">
        <v>3241</v>
      </c>
      <c r="F91" s="128" t="s">
        <v>3242</v>
      </c>
      <c r="G91" s="128" t="s">
        <v>3243</v>
      </c>
    </row>
    <row r="92" spans="1:7" ht="15.5">
      <c r="A92" s="125" t="s">
        <v>3244</v>
      </c>
      <c r="B92" s="126">
        <v>4</v>
      </c>
      <c r="C92" s="126">
        <v>0.93</v>
      </c>
      <c r="D92" s="126" t="s">
        <v>3130</v>
      </c>
      <c r="E92" s="126" t="s">
        <v>3245</v>
      </c>
      <c r="F92" s="126" t="s">
        <v>3213</v>
      </c>
      <c r="G92" s="126" t="s">
        <v>3124</v>
      </c>
    </row>
    <row r="93" spans="1:7" ht="15.5">
      <c r="A93" s="127" t="s">
        <v>3246</v>
      </c>
      <c r="B93" s="128">
        <v>35</v>
      </c>
      <c r="C93" s="128">
        <v>1.23</v>
      </c>
      <c r="D93" s="128" t="s">
        <v>3213</v>
      </c>
      <c r="E93" s="128" t="s">
        <v>3247</v>
      </c>
      <c r="F93" s="128" t="s">
        <v>2938</v>
      </c>
      <c r="G93" s="128" t="s">
        <v>3248</v>
      </c>
    </row>
    <row r="94" spans="1:7" ht="15.5">
      <c r="A94" s="125" t="s">
        <v>3249</v>
      </c>
      <c r="B94" s="126">
        <v>15</v>
      </c>
      <c r="C94" s="126">
        <v>0.41</v>
      </c>
      <c r="D94" s="126" t="s">
        <v>3250</v>
      </c>
      <c r="E94" s="126" t="s">
        <v>3251</v>
      </c>
      <c r="F94" s="126" t="s">
        <v>3011</v>
      </c>
      <c r="G94" s="126" t="s">
        <v>2865</v>
      </c>
    </row>
    <row r="95" spans="1:7" ht="15.5">
      <c r="A95" s="127" t="s">
        <v>3252</v>
      </c>
      <c r="B95" s="128">
        <v>16</v>
      </c>
      <c r="C95" s="128">
        <v>0.87</v>
      </c>
      <c r="D95" s="128" t="s">
        <v>3253</v>
      </c>
      <c r="E95" s="128" t="s">
        <v>3254</v>
      </c>
      <c r="F95" s="128" t="s">
        <v>2926</v>
      </c>
      <c r="G95" s="128" t="s">
        <v>3196</v>
      </c>
    </row>
    <row r="96" spans="1:7" ht="15.5">
      <c r="A96" s="125" t="s">
        <v>3255</v>
      </c>
      <c r="B96" s="126">
        <v>7165</v>
      </c>
      <c r="C96" s="126">
        <v>0.88</v>
      </c>
      <c r="D96" s="126" t="s">
        <v>3029</v>
      </c>
      <c r="E96" s="126" t="s">
        <v>3256</v>
      </c>
      <c r="F96" s="126" t="s">
        <v>3257</v>
      </c>
      <c r="G96" s="126" t="s">
        <v>2863</v>
      </c>
    </row>
    <row r="97" spans="1:7" ht="15.5">
      <c r="A97" s="127" t="s">
        <v>3258</v>
      </c>
      <c r="B97" s="128">
        <v>5649</v>
      </c>
      <c r="C97" s="128">
        <v>1.1200000000000001</v>
      </c>
      <c r="D97" s="128" t="s">
        <v>2949</v>
      </c>
      <c r="E97" s="128" t="s">
        <v>3259</v>
      </c>
      <c r="F97" s="128" t="s">
        <v>3260</v>
      </c>
      <c r="G97" s="128" t="s">
        <v>2877</v>
      </c>
    </row>
    <row r="99" spans="1:7">
      <c r="A99" s="132"/>
    </row>
    <row r="100" spans="1:7">
      <c r="A100" s="13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53B5A-62BF-4A51-A6F5-6117FEFDB0EA}">
  <dimension ref="A1:Y126"/>
  <sheetViews>
    <sheetView zoomScale="125" workbookViewId="0">
      <selection activeCell="F18" sqref="F18"/>
    </sheetView>
  </sheetViews>
  <sheetFormatPr baseColWidth="10" defaultColWidth="10.7265625" defaultRowHeight="15.5"/>
  <cols>
    <col min="1" max="1" width="15.54296875" style="134" bestFit="1" customWidth="1"/>
    <col min="2" max="2" width="8.54296875" style="134" customWidth="1"/>
    <col min="3" max="3" width="12.453125" style="134" customWidth="1"/>
    <col min="4" max="4" width="13.7265625" style="134" customWidth="1"/>
    <col min="5" max="7" width="12.81640625" style="134" customWidth="1"/>
    <col min="8" max="8" width="12.1796875" style="134" bestFit="1" customWidth="1"/>
    <col min="9" max="9" width="12.81640625" style="134" bestFit="1" customWidth="1"/>
    <col min="10" max="13" width="12.453125" style="134" customWidth="1"/>
    <col min="14" max="14" width="12.81640625" style="134" customWidth="1"/>
    <col min="15" max="15" width="13.81640625" style="134" customWidth="1"/>
    <col min="16" max="19" width="10.7265625" style="134"/>
    <col min="20" max="20" width="10.7265625" style="135"/>
    <col min="21" max="256" width="10.7265625" style="134"/>
    <col min="257" max="257" width="15.54296875" style="134" bestFit="1" customWidth="1"/>
    <col min="258" max="258" width="8.54296875" style="134" customWidth="1"/>
    <col min="259" max="259" width="12.453125" style="134" customWidth="1"/>
    <col min="260" max="260" width="13.7265625" style="134" customWidth="1"/>
    <col min="261" max="263" width="12.81640625" style="134" customWidth="1"/>
    <col min="264" max="264" width="12.1796875" style="134" bestFit="1" customWidth="1"/>
    <col min="265" max="265" width="12.81640625" style="134" bestFit="1" customWidth="1"/>
    <col min="266" max="269" width="12.453125" style="134" customWidth="1"/>
    <col min="270" max="270" width="12.81640625" style="134" customWidth="1"/>
    <col min="271" max="271" width="13.81640625" style="134" customWidth="1"/>
    <col min="272" max="512" width="10.7265625" style="134"/>
    <col min="513" max="513" width="15.54296875" style="134" bestFit="1" customWidth="1"/>
    <col min="514" max="514" width="8.54296875" style="134" customWidth="1"/>
    <col min="515" max="515" width="12.453125" style="134" customWidth="1"/>
    <col min="516" max="516" width="13.7265625" style="134" customWidth="1"/>
    <col min="517" max="519" width="12.81640625" style="134" customWidth="1"/>
    <col min="520" max="520" width="12.1796875" style="134" bestFit="1" customWidth="1"/>
    <col min="521" max="521" width="12.81640625" style="134" bestFit="1" customWidth="1"/>
    <col min="522" max="525" width="12.453125" style="134" customWidth="1"/>
    <col min="526" max="526" width="12.81640625" style="134" customWidth="1"/>
    <col min="527" max="527" width="13.81640625" style="134" customWidth="1"/>
    <col min="528" max="768" width="10.7265625" style="134"/>
    <col min="769" max="769" width="15.54296875" style="134" bestFit="1" customWidth="1"/>
    <col min="770" max="770" width="8.54296875" style="134" customWidth="1"/>
    <col min="771" max="771" width="12.453125" style="134" customWidth="1"/>
    <col min="772" max="772" width="13.7265625" style="134" customWidth="1"/>
    <col min="773" max="775" width="12.81640625" style="134" customWidth="1"/>
    <col min="776" max="776" width="12.1796875" style="134" bestFit="1" customWidth="1"/>
    <col min="777" max="777" width="12.81640625" style="134" bestFit="1" customWidth="1"/>
    <col min="778" max="781" width="12.453125" style="134" customWidth="1"/>
    <col min="782" max="782" width="12.81640625" style="134" customWidth="1"/>
    <col min="783" max="783" width="13.81640625" style="134" customWidth="1"/>
    <col min="784" max="1024" width="10.7265625" style="134"/>
    <col min="1025" max="1025" width="15.54296875" style="134" bestFit="1" customWidth="1"/>
    <col min="1026" max="1026" width="8.54296875" style="134" customWidth="1"/>
    <col min="1027" max="1027" width="12.453125" style="134" customWidth="1"/>
    <col min="1028" max="1028" width="13.7265625" style="134" customWidth="1"/>
    <col min="1029" max="1031" width="12.81640625" style="134" customWidth="1"/>
    <col min="1032" max="1032" width="12.1796875" style="134" bestFit="1" customWidth="1"/>
    <col min="1033" max="1033" width="12.81640625" style="134" bestFit="1" customWidth="1"/>
    <col min="1034" max="1037" width="12.453125" style="134" customWidth="1"/>
    <col min="1038" max="1038" width="12.81640625" style="134" customWidth="1"/>
    <col min="1039" max="1039" width="13.81640625" style="134" customWidth="1"/>
    <col min="1040" max="1280" width="10.7265625" style="134"/>
    <col min="1281" max="1281" width="15.54296875" style="134" bestFit="1" customWidth="1"/>
    <col min="1282" max="1282" width="8.54296875" style="134" customWidth="1"/>
    <col min="1283" max="1283" width="12.453125" style="134" customWidth="1"/>
    <col min="1284" max="1284" width="13.7265625" style="134" customWidth="1"/>
    <col min="1285" max="1287" width="12.81640625" style="134" customWidth="1"/>
    <col min="1288" max="1288" width="12.1796875" style="134" bestFit="1" customWidth="1"/>
    <col min="1289" max="1289" width="12.81640625" style="134" bestFit="1" customWidth="1"/>
    <col min="1290" max="1293" width="12.453125" style="134" customWidth="1"/>
    <col min="1294" max="1294" width="12.81640625" style="134" customWidth="1"/>
    <col min="1295" max="1295" width="13.81640625" style="134" customWidth="1"/>
    <col min="1296" max="1536" width="10.7265625" style="134"/>
    <col min="1537" max="1537" width="15.54296875" style="134" bestFit="1" customWidth="1"/>
    <col min="1538" max="1538" width="8.54296875" style="134" customWidth="1"/>
    <col min="1539" max="1539" width="12.453125" style="134" customWidth="1"/>
    <col min="1540" max="1540" width="13.7265625" style="134" customWidth="1"/>
    <col min="1541" max="1543" width="12.81640625" style="134" customWidth="1"/>
    <col min="1544" max="1544" width="12.1796875" style="134" bestFit="1" customWidth="1"/>
    <col min="1545" max="1545" width="12.81640625" style="134" bestFit="1" customWidth="1"/>
    <col min="1546" max="1549" width="12.453125" style="134" customWidth="1"/>
    <col min="1550" max="1550" width="12.81640625" style="134" customWidth="1"/>
    <col min="1551" max="1551" width="13.81640625" style="134" customWidth="1"/>
    <col min="1552" max="1792" width="10.7265625" style="134"/>
    <col min="1793" max="1793" width="15.54296875" style="134" bestFit="1" customWidth="1"/>
    <col min="1794" max="1794" width="8.54296875" style="134" customWidth="1"/>
    <col min="1795" max="1795" width="12.453125" style="134" customWidth="1"/>
    <col min="1796" max="1796" width="13.7265625" style="134" customWidth="1"/>
    <col min="1797" max="1799" width="12.81640625" style="134" customWidth="1"/>
    <col min="1800" max="1800" width="12.1796875" style="134" bestFit="1" customWidth="1"/>
    <col min="1801" max="1801" width="12.81640625" style="134" bestFit="1" customWidth="1"/>
    <col min="1802" max="1805" width="12.453125" style="134" customWidth="1"/>
    <col min="1806" max="1806" width="12.81640625" style="134" customWidth="1"/>
    <col min="1807" max="1807" width="13.81640625" style="134" customWidth="1"/>
    <col min="1808" max="2048" width="10.7265625" style="134"/>
    <col min="2049" max="2049" width="15.54296875" style="134" bestFit="1" customWidth="1"/>
    <col min="2050" max="2050" width="8.54296875" style="134" customWidth="1"/>
    <col min="2051" max="2051" width="12.453125" style="134" customWidth="1"/>
    <col min="2052" max="2052" width="13.7265625" style="134" customWidth="1"/>
    <col min="2053" max="2055" width="12.81640625" style="134" customWidth="1"/>
    <col min="2056" max="2056" width="12.1796875" style="134" bestFit="1" customWidth="1"/>
    <col min="2057" max="2057" width="12.81640625" style="134" bestFit="1" customWidth="1"/>
    <col min="2058" max="2061" width="12.453125" style="134" customWidth="1"/>
    <col min="2062" max="2062" width="12.81640625" style="134" customWidth="1"/>
    <col min="2063" max="2063" width="13.81640625" style="134" customWidth="1"/>
    <col min="2064" max="2304" width="10.7265625" style="134"/>
    <col min="2305" max="2305" width="15.54296875" style="134" bestFit="1" customWidth="1"/>
    <col min="2306" max="2306" width="8.54296875" style="134" customWidth="1"/>
    <col min="2307" max="2307" width="12.453125" style="134" customWidth="1"/>
    <col min="2308" max="2308" width="13.7265625" style="134" customWidth="1"/>
    <col min="2309" max="2311" width="12.81640625" style="134" customWidth="1"/>
    <col min="2312" max="2312" width="12.1796875" style="134" bestFit="1" customWidth="1"/>
    <col min="2313" max="2313" width="12.81640625" style="134" bestFit="1" customWidth="1"/>
    <col min="2314" max="2317" width="12.453125" style="134" customWidth="1"/>
    <col min="2318" max="2318" width="12.81640625" style="134" customWidth="1"/>
    <col min="2319" max="2319" width="13.81640625" style="134" customWidth="1"/>
    <col min="2320" max="2560" width="10.7265625" style="134"/>
    <col min="2561" max="2561" width="15.54296875" style="134" bestFit="1" customWidth="1"/>
    <col min="2562" max="2562" width="8.54296875" style="134" customWidth="1"/>
    <col min="2563" max="2563" width="12.453125" style="134" customWidth="1"/>
    <col min="2564" max="2564" width="13.7265625" style="134" customWidth="1"/>
    <col min="2565" max="2567" width="12.81640625" style="134" customWidth="1"/>
    <col min="2568" max="2568" width="12.1796875" style="134" bestFit="1" customWidth="1"/>
    <col min="2569" max="2569" width="12.81640625" style="134" bestFit="1" customWidth="1"/>
    <col min="2570" max="2573" width="12.453125" style="134" customWidth="1"/>
    <col min="2574" max="2574" width="12.81640625" style="134" customWidth="1"/>
    <col min="2575" max="2575" width="13.81640625" style="134" customWidth="1"/>
    <col min="2576" max="2816" width="10.7265625" style="134"/>
    <col min="2817" max="2817" width="15.54296875" style="134" bestFit="1" customWidth="1"/>
    <col min="2818" max="2818" width="8.54296875" style="134" customWidth="1"/>
    <col min="2819" max="2819" width="12.453125" style="134" customWidth="1"/>
    <col min="2820" max="2820" width="13.7265625" style="134" customWidth="1"/>
    <col min="2821" max="2823" width="12.81640625" style="134" customWidth="1"/>
    <col min="2824" max="2824" width="12.1796875" style="134" bestFit="1" customWidth="1"/>
    <col min="2825" max="2825" width="12.81640625" style="134" bestFit="1" customWidth="1"/>
    <col min="2826" max="2829" width="12.453125" style="134" customWidth="1"/>
    <col min="2830" max="2830" width="12.81640625" style="134" customWidth="1"/>
    <col min="2831" max="2831" width="13.81640625" style="134" customWidth="1"/>
    <col min="2832" max="3072" width="10.7265625" style="134"/>
    <col min="3073" max="3073" width="15.54296875" style="134" bestFit="1" customWidth="1"/>
    <col min="3074" max="3074" width="8.54296875" style="134" customWidth="1"/>
    <col min="3075" max="3075" width="12.453125" style="134" customWidth="1"/>
    <col min="3076" max="3076" width="13.7265625" style="134" customWidth="1"/>
    <col min="3077" max="3079" width="12.81640625" style="134" customWidth="1"/>
    <col min="3080" max="3080" width="12.1796875" style="134" bestFit="1" customWidth="1"/>
    <col min="3081" max="3081" width="12.81640625" style="134" bestFit="1" customWidth="1"/>
    <col min="3082" max="3085" width="12.453125" style="134" customWidth="1"/>
    <col min="3086" max="3086" width="12.81640625" style="134" customWidth="1"/>
    <col min="3087" max="3087" width="13.81640625" style="134" customWidth="1"/>
    <col min="3088" max="3328" width="10.7265625" style="134"/>
    <col min="3329" max="3329" width="15.54296875" style="134" bestFit="1" customWidth="1"/>
    <col min="3330" max="3330" width="8.54296875" style="134" customWidth="1"/>
    <col min="3331" max="3331" width="12.453125" style="134" customWidth="1"/>
    <col min="3332" max="3332" width="13.7265625" style="134" customWidth="1"/>
    <col min="3333" max="3335" width="12.81640625" style="134" customWidth="1"/>
    <col min="3336" max="3336" width="12.1796875" style="134" bestFit="1" customWidth="1"/>
    <col min="3337" max="3337" width="12.81640625" style="134" bestFit="1" customWidth="1"/>
    <col min="3338" max="3341" width="12.453125" style="134" customWidth="1"/>
    <col min="3342" max="3342" width="12.81640625" style="134" customWidth="1"/>
    <col min="3343" max="3343" width="13.81640625" style="134" customWidth="1"/>
    <col min="3344" max="3584" width="10.7265625" style="134"/>
    <col min="3585" max="3585" width="15.54296875" style="134" bestFit="1" customWidth="1"/>
    <col min="3586" max="3586" width="8.54296875" style="134" customWidth="1"/>
    <col min="3587" max="3587" width="12.453125" style="134" customWidth="1"/>
    <col min="3588" max="3588" width="13.7265625" style="134" customWidth="1"/>
    <col min="3589" max="3591" width="12.81640625" style="134" customWidth="1"/>
    <col min="3592" max="3592" width="12.1796875" style="134" bestFit="1" customWidth="1"/>
    <col min="3593" max="3593" width="12.81640625" style="134" bestFit="1" customWidth="1"/>
    <col min="3594" max="3597" width="12.453125" style="134" customWidth="1"/>
    <col min="3598" max="3598" width="12.81640625" style="134" customWidth="1"/>
    <col min="3599" max="3599" width="13.81640625" style="134" customWidth="1"/>
    <col min="3600" max="3840" width="10.7265625" style="134"/>
    <col min="3841" max="3841" width="15.54296875" style="134" bestFit="1" customWidth="1"/>
    <col min="3842" max="3842" width="8.54296875" style="134" customWidth="1"/>
    <col min="3843" max="3843" width="12.453125" style="134" customWidth="1"/>
    <col min="3844" max="3844" width="13.7265625" style="134" customWidth="1"/>
    <col min="3845" max="3847" width="12.81640625" style="134" customWidth="1"/>
    <col min="3848" max="3848" width="12.1796875" style="134" bestFit="1" customWidth="1"/>
    <col min="3849" max="3849" width="12.81640625" style="134" bestFit="1" customWidth="1"/>
    <col min="3850" max="3853" width="12.453125" style="134" customWidth="1"/>
    <col min="3854" max="3854" width="12.81640625" style="134" customWidth="1"/>
    <col min="3855" max="3855" width="13.81640625" style="134" customWidth="1"/>
    <col min="3856" max="4096" width="10.7265625" style="134"/>
    <col min="4097" max="4097" width="15.54296875" style="134" bestFit="1" customWidth="1"/>
    <col min="4098" max="4098" width="8.54296875" style="134" customWidth="1"/>
    <col min="4099" max="4099" width="12.453125" style="134" customWidth="1"/>
    <col min="4100" max="4100" width="13.7265625" style="134" customWidth="1"/>
    <col min="4101" max="4103" width="12.81640625" style="134" customWidth="1"/>
    <col min="4104" max="4104" width="12.1796875" style="134" bestFit="1" customWidth="1"/>
    <col min="4105" max="4105" width="12.81640625" style="134" bestFit="1" customWidth="1"/>
    <col min="4106" max="4109" width="12.453125" style="134" customWidth="1"/>
    <col min="4110" max="4110" width="12.81640625" style="134" customWidth="1"/>
    <col min="4111" max="4111" width="13.81640625" style="134" customWidth="1"/>
    <col min="4112" max="4352" width="10.7265625" style="134"/>
    <col min="4353" max="4353" width="15.54296875" style="134" bestFit="1" customWidth="1"/>
    <col min="4354" max="4354" width="8.54296875" style="134" customWidth="1"/>
    <col min="4355" max="4355" width="12.453125" style="134" customWidth="1"/>
    <col min="4356" max="4356" width="13.7265625" style="134" customWidth="1"/>
    <col min="4357" max="4359" width="12.81640625" style="134" customWidth="1"/>
    <col min="4360" max="4360" width="12.1796875" style="134" bestFit="1" customWidth="1"/>
    <col min="4361" max="4361" width="12.81640625" style="134" bestFit="1" customWidth="1"/>
    <col min="4362" max="4365" width="12.453125" style="134" customWidth="1"/>
    <col min="4366" max="4366" width="12.81640625" style="134" customWidth="1"/>
    <col min="4367" max="4367" width="13.81640625" style="134" customWidth="1"/>
    <col min="4368" max="4608" width="10.7265625" style="134"/>
    <col min="4609" max="4609" width="15.54296875" style="134" bestFit="1" customWidth="1"/>
    <col min="4610" max="4610" width="8.54296875" style="134" customWidth="1"/>
    <col min="4611" max="4611" width="12.453125" style="134" customWidth="1"/>
    <col min="4612" max="4612" width="13.7265625" style="134" customWidth="1"/>
    <col min="4613" max="4615" width="12.81640625" style="134" customWidth="1"/>
    <col min="4616" max="4616" width="12.1796875" style="134" bestFit="1" customWidth="1"/>
    <col min="4617" max="4617" width="12.81640625" style="134" bestFit="1" customWidth="1"/>
    <col min="4618" max="4621" width="12.453125" style="134" customWidth="1"/>
    <col min="4622" max="4622" width="12.81640625" style="134" customWidth="1"/>
    <col min="4623" max="4623" width="13.81640625" style="134" customWidth="1"/>
    <col min="4624" max="4864" width="10.7265625" style="134"/>
    <col min="4865" max="4865" width="15.54296875" style="134" bestFit="1" customWidth="1"/>
    <col min="4866" max="4866" width="8.54296875" style="134" customWidth="1"/>
    <col min="4867" max="4867" width="12.453125" style="134" customWidth="1"/>
    <col min="4868" max="4868" width="13.7265625" style="134" customWidth="1"/>
    <col min="4869" max="4871" width="12.81640625" style="134" customWidth="1"/>
    <col min="4872" max="4872" width="12.1796875" style="134" bestFit="1" customWidth="1"/>
    <col min="4873" max="4873" width="12.81640625" style="134" bestFit="1" customWidth="1"/>
    <col min="4874" max="4877" width="12.453125" style="134" customWidth="1"/>
    <col min="4878" max="4878" width="12.81640625" style="134" customWidth="1"/>
    <col min="4879" max="4879" width="13.81640625" style="134" customWidth="1"/>
    <col min="4880" max="5120" width="10.7265625" style="134"/>
    <col min="5121" max="5121" width="15.54296875" style="134" bestFit="1" customWidth="1"/>
    <col min="5122" max="5122" width="8.54296875" style="134" customWidth="1"/>
    <col min="5123" max="5123" width="12.453125" style="134" customWidth="1"/>
    <col min="5124" max="5124" width="13.7265625" style="134" customWidth="1"/>
    <col min="5125" max="5127" width="12.81640625" style="134" customWidth="1"/>
    <col min="5128" max="5128" width="12.1796875" style="134" bestFit="1" customWidth="1"/>
    <col min="5129" max="5129" width="12.81640625" style="134" bestFit="1" customWidth="1"/>
    <col min="5130" max="5133" width="12.453125" style="134" customWidth="1"/>
    <col min="5134" max="5134" width="12.81640625" style="134" customWidth="1"/>
    <col min="5135" max="5135" width="13.81640625" style="134" customWidth="1"/>
    <col min="5136" max="5376" width="10.7265625" style="134"/>
    <col min="5377" max="5377" width="15.54296875" style="134" bestFit="1" customWidth="1"/>
    <col min="5378" max="5378" width="8.54296875" style="134" customWidth="1"/>
    <col min="5379" max="5379" width="12.453125" style="134" customWidth="1"/>
    <col min="5380" max="5380" width="13.7265625" style="134" customWidth="1"/>
    <col min="5381" max="5383" width="12.81640625" style="134" customWidth="1"/>
    <col min="5384" max="5384" width="12.1796875" style="134" bestFit="1" customWidth="1"/>
    <col min="5385" max="5385" width="12.81640625" style="134" bestFit="1" customWidth="1"/>
    <col min="5386" max="5389" width="12.453125" style="134" customWidth="1"/>
    <col min="5390" max="5390" width="12.81640625" style="134" customWidth="1"/>
    <col min="5391" max="5391" width="13.81640625" style="134" customWidth="1"/>
    <col min="5392" max="5632" width="10.7265625" style="134"/>
    <col min="5633" max="5633" width="15.54296875" style="134" bestFit="1" customWidth="1"/>
    <col min="5634" max="5634" width="8.54296875" style="134" customWidth="1"/>
    <col min="5635" max="5635" width="12.453125" style="134" customWidth="1"/>
    <col min="5636" max="5636" width="13.7265625" style="134" customWidth="1"/>
    <col min="5637" max="5639" width="12.81640625" style="134" customWidth="1"/>
    <col min="5640" max="5640" width="12.1796875" style="134" bestFit="1" customWidth="1"/>
    <col min="5641" max="5641" width="12.81640625" style="134" bestFit="1" customWidth="1"/>
    <col min="5642" max="5645" width="12.453125" style="134" customWidth="1"/>
    <col min="5646" max="5646" width="12.81640625" style="134" customWidth="1"/>
    <col min="5647" max="5647" width="13.81640625" style="134" customWidth="1"/>
    <col min="5648" max="5888" width="10.7265625" style="134"/>
    <col min="5889" max="5889" width="15.54296875" style="134" bestFit="1" customWidth="1"/>
    <col min="5890" max="5890" width="8.54296875" style="134" customWidth="1"/>
    <col min="5891" max="5891" width="12.453125" style="134" customWidth="1"/>
    <col min="5892" max="5892" width="13.7265625" style="134" customWidth="1"/>
    <col min="5893" max="5895" width="12.81640625" style="134" customWidth="1"/>
    <col min="5896" max="5896" width="12.1796875" style="134" bestFit="1" customWidth="1"/>
    <col min="5897" max="5897" width="12.81640625" style="134" bestFit="1" customWidth="1"/>
    <col min="5898" max="5901" width="12.453125" style="134" customWidth="1"/>
    <col min="5902" max="5902" width="12.81640625" style="134" customWidth="1"/>
    <col min="5903" max="5903" width="13.81640625" style="134" customWidth="1"/>
    <col min="5904" max="6144" width="10.7265625" style="134"/>
    <col min="6145" max="6145" width="15.54296875" style="134" bestFit="1" customWidth="1"/>
    <col min="6146" max="6146" width="8.54296875" style="134" customWidth="1"/>
    <col min="6147" max="6147" width="12.453125" style="134" customWidth="1"/>
    <col min="6148" max="6148" width="13.7265625" style="134" customWidth="1"/>
    <col min="6149" max="6151" width="12.81640625" style="134" customWidth="1"/>
    <col min="6152" max="6152" width="12.1796875" style="134" bestFit="1" customWidth="1"/>
    <col min="6153" max="6153" width="12.81640625" style="134" bestFit="1" customWidth="1"/>
    <col min="6154" max="6157" width="12.453125" style="134" customWidth="1"/>
    <col min="6158" max="6158" width="12.81640625" style="134" customWidth="1"/>
    <col min="6159" max="6159" width="13.81640625" style="134" customWidth="1"/>
    <col min="6160" max="6400" width="10.7265625" style="134"/>
    <col min="6401" max="6401" width="15.54296875" style="134" bestFit="1" customWidth="1"/>
    <col min="6402" max="6402" width="8.54296875" style="134" customWidth="1"/>
    <col min="6403" max="6403" width="12.453125" style="134" customWidth="1"/>
    <col min="6404" max="6404" width="13.7265625" style="134" customWidth="1"/>
    <col min="6405" max="6407" width="12.81640625" style="134" customWidth="1"/>
    <col min="6408" max="6408" width="12.1796875" style="134" bestFit="1" customWidth="1"/>
    <col min="6409" max="6409" width="12.81640625" style="134" bestFit="1" customWidth="1"/>
    <col min="6410" max="6413" width="12.453125" style="134" customWidth="1"/>
    <col min="6414" max="6414" width="12.81640625" style="134" customWidth="1"/>
    <col min="6415" max="6415" width="13.81640625" style="134" customWidth="1"/>
    <col min="6416" max="6656" width="10.7265625" style="134"/>
    <col min="6657" max="6657" width="15.54296875" style="134" bestFit="1" customWidth="1"/>
    <col min="6658" max="6658" width="8.54296875" style="134" customWidth="1"/>
    <col min="6659" max="6659" width="12.453125" style="134" customWidth="1"/>
    <col min="6660" max="6660" width="13.7265625" style="134" customWidth="1"/>
    <col min="6661" max="6663" width="12.81640625" style="134" customWidth="1"/>
    <col min="6664" max="6664" width="12.1796875" style="134" bestFit="1" customWidth="1"/>
    <col min="6665" max="6665" width="12.81640625" style="134" bestFit="1" customWidth="1"/>
    <col min="6666" max="6669" width="12.453125" style="134" customWidth="1"/>
    <col min="6670" max="6670" width="12.81640625" style="134" customWidth="1"/>
    <col min="6671" max="6671" width="13.81640625" style="134" customWidth="1"/>
    <col min="6672" max="6912" width="10.7265625" style="134"/>
    <col min="6913" max="6913" width="15.54296875" style="134" bestFit="1" customWidth="1"/>
    <col min="6914" max="6914" width="8.54296875" style="134" customWidth="1"/>
    <col min="6915" max="6915" width="12.453125" style="134" customWidth="1"/>
    <col min="6916" max="6916" width="13.7265625" style="134" customWidth="1"/>
    <col min="6917" max="6919" width="12.81640625" style="134" customWidth="1"/>
    <col min="6920" max="6920" width="12.1796875" style="134" bestFit="1" customWidth="1"/>
    <col min="6921" max="6921" width="12.81640625" style="134" bestFit="1" customWidth="1"/>
    <col min="6922" max="6925" width="12.453125" style="134" customWidth="1"/>
    <col min="6926" max="6926" width="12.81640625" style="134" customWidth="1"/>
    <col min="6927" max="6927" width="13.81640625" style="134" customWidth="1"/>
    <col min="6928" max="7168" width="10.7265625" style="134"/>
    <col min="7169" max="7169" width="15.54296875" style="134" bestFit="1" customWidth="1"/>
    <col min="7170" max="7170" width="8.54296875" style="134" customWidth="1"/>
    <col min="7171" max="7171" width="12.453125" style="134" customWidth="1"/>
    <col min="7172" max="7172" width="13.7265625" style="134" customWidth="1"/>
    <col min="7173" max="7175" width="12.81640625" style="134" customWidth="1"/>
    <col min="7176" max="7176" width="12.1796875" style="134" bestFit="1" customWidth="1"/>
    <col min="7177" max="7177" width="12.81640625" style="134" bestFit="1" customWidth="1"/>
    <col min="7178" max="7181" width="12.453125" style="134" customWidth="1"/>
    <col min="7182" max="7182" width="12.81640625" style="134" customWidth="1"/>
    <col min="7183" max="7183" width="13.81640625" style="134" customWidth="1"/>
    <col min="7184" max="7424" width="10.7265625" style="134"/>
    <col min="7425" max="7425" width="15.54296875" style="134" bestFit="1" customWidth="1"/>
    <col min="7426" max="7426" width="8.54296875" style="134" customWidth="1"/>
    <col min="7427" max="7427" width="12.453125" style="134" customWidth="1"/>
    <col min="7428" max="7428" width="13.7265625" style="134" customWidth="1"/>
    <col min="7429" max="7431" width="12.81640625" style="134" customWidth="1"/>
    <col min="7432" max="7432" width="12.1796875" style="134" bestFit="1" customWidth="1"/>
    <col min="7433" max="7433" width="12.81640625" style="134" bestFit="1" customWidth="1"/>
    <col min="7434" max="7437" width="12.453125" style="134" customWidth="1"/>
    <col min="7438" max="7438" width="12.81640625" style="134" customWidth="1"/>
    <col min="7439" max="7439" width="13.81640625" style="134" customWidth="1"/>
    <col min="7440" max="7680" width="10.7265625" style="134"/>
    <col min="7681" max="7681" width="15.54296875" style="134" bestFit="1" customWidth="1"/>
    <col min="7682" max="7682" width="8.54296875" style="134" customWidth="1"/>
    <col min="7683" max="7683" width="12.453125" style="134" customWidth="1"/>
    <col min="7684" max="7684" width="13.7265625" style="134" customWidth="1"/>
    <col min="7685" max="7687" width="12.81640625" style="134" customWidth="1"/>
    <col min="7688" max="7688" width="12.1796875" style="134" bestFit="1" customWidth="1"/>
    <col min="7689" max="7689" width="12.81640625" style="134" bestFit="1" customWidth="1"/>
    <col min="7690" max="7693" width="12.453125" style="134" customWidth="1"/>
    <col min="7694" max="7694" width="12.81640625" style="134" customWidth="1"/>
    <col min="7695" max="7695" width="13.81640625" style="134" customWidth="1"/>
    <col min="7696" max="7936" width="10.7265625" style="134"/>
    <col min="7937" max="7937" width="15.54296875" style="134" bestFit="1" customWidth="1"/>
    <col min="7938" max="7938" width="8.54296875" style="134" customWidth="1"/>
    <col min="7939" max="7939" width="12.453125" style="134" customWidth="1"/>
    <col min="7940" max="7940" width="13.7265625" style="134" customWidth="1"/>
    <col min="7941" max="7943" width="12.81640625" style="134" customWidth="1"/>
    <col min="7944" max="7944" width="12.1796875" style="134" bestFit="1" customWidth="1"/>
    <col min="7945" max="7945" width="12.81640625" style="134" bestFit="1" customWidth="1"/>
    <col min="7946" max="7949" width="12.453125" style="134" customWidth="1"/>
    <col min="7950" max="7950" width="12.81640625" style="134" customWidth="1"/>
    <col min="7951" max="7951" width="13.81640625" style="134" customWidth="1"/>
    <col min="7952" max="8192" width="10.7265625" style="134"/>
    <col min="8193" max="8193" width="15.54296875" style="134" bestFit="1" customWidth="1"/>
    <col min="8194" max="8194" width="8.54296875" style="134" customWidth="1"/>
    <col min="8195" max="8195" width="12.453125" style="134" customWidth="1"/>
    <col min="8196" max="8196" width="13.7265625" style="134" customWidth="1"/>
    <col min="8197" max="8199" width="12.81640625" style="134" customWidth="1"/>
    <col min="8200" max="8200" width="12.1796875" style="134" bestFit="1" customWidth="1"/>
    <col min="8201" max="8201" width="12.81640625" style="134" bestFit="1" customWidth="1"/>
    <col min="8202" max="8205" width="12.453125" style="134" customWidth="1"/>
    <col min="8206" max="8206" width="12.81640625" style="134" customWidth="1"/>
    <col min="8207" max="8207" width="13.81640625" style="134" customWidth="1"/>
    <col min="8208" max="8448" width="10.7265625" style="134"/>
    <col min="8449" max="8449" width="15.54296875" style="134" bestFit="1" customWidth="1"/>
    <col min="8450" max="8450" width="8.54296875" style="134" customWidth="1"/>
    <col min="8451" max="8451" width="12.453125" style="134" customWidth="1"/>
    <col min="8452" max="8452" width="13.7265625" style="134" customWidth="1"/>
    <col min="8453" max="8455" width="12.81640625" style="134" customWidth="1"/>
    <col min="8456" max="8456" width="12.1796875" style="134" bestFit="1" customWidth="1"/>
    <col min="8457" max="8457" width="12.81640625" style="134" bestFit="1" customWidth="1"/>
    <col min="8458" max="8461" width="12.453125" style="134" customWidth="1"/>
    <col min="8462" max="8462" width="12.81640625" style="134" customWidth="1"/>
    <col min="8463" max="8463" width="13.81640625" style="134" customWidth="1"/>
    <col min="8464" max="8704" width="10.7265625" style="134"/>
    <col min="8705" max="8705" width="15.54296875" style="134" bestFit="1" customWidth="1"/>
    <col min="8706" max="8706" width="8.54296875" style="134" customWidth="1"/>
    <col min="8707" max="8707" width="12.453125" style="134" customWidth="1"/>
    <col min="8708" max="8708" width="13.7265625" style="134" customWidth="1"/>
    <col min="8709" max="8711" width="12.81640625" style="134" customWidth="1"/>
    <col min="8712" max="8712" width="12.1796875" style="134" bestFit="1" customWidth="1"/>
    <col min="8713" max="8713" width="12.81640625" style="134" bestFit="1" customWidth="1"/>
    <col min="8714" max="8717" width="12.453125" style="134" customWidth="1"/>
    <col min="8718" max="8718" width="12.81640625" style="134" customWidth="1"/>
    <col min="8719" max="8719" width="13.81640625" style="134" customWidth="1"/>
    <col min="8720" max="8960" width="10.7265625" style="134"/>
    <col min="8961" max="8961" width="15.54296875" style="134" bestFit="1" customWidth="1"/>
    <col min="8962" max="8962" width="8.54296875" style="134" customWidth="1"/>
    <col min="8963" max="8963" width="12.453125" style="134" customWidth="1"/>
    <col min="8964" max="8964" width="13.7265625" style="134" customWidth="1"/>
    <col min="8965" max="8967" width="12.81640625" style="134" customWidth="1"/>
    <col min="8968" max="8968" width="12.1796875" style="134" bestFit="1" customWidth="1"/>
    <col min="8969" max="8969" width="12.81640625" style="134" bestFit="1" customWidth="1"/>
    <col min="8970" max="8973" width="12.453125" style="134" customWidth="1"/>
    <col min="8974" max="8974" width="12.81640625" style="134" customWidth="1"/>
    <col min="8975" max="8975" width="13.81640625" style="134" customWidth="1"/>
    <col min="8976" max="9216" width="10.7265625" style="134"/>
    <col min="9217" max="9217" width="15.54296875" style="134" bestFit="1" customWidth="1"/>
    <col min="9218" max="9218" width="8.54296875" style="134" customWidth="1"/>
    <col min="9219" max="9219" width="12.453125" style="134" customWidth="1"/>
    <col min="9220" max="9220" width="13.7265625" style="134" customWidth="1"/>
    <col min="9221" max="9223" width="12.81640625" style="134" customWidth="1"/>
    <col min="9224" max="9224" width="12.1796875" style="134" bestFit="1" customWidth="1"/>
    <col min="9225" max="9225" width="12.81640625" style="134" bestFit="1" customWidth="1"/>
    <col min="9226" max="9229" width="12.453125" style="134" customWidth="1"/>
    <col min="9230" max="9230" width="12.81640625" style="134" customWidth="1"/>
    <col min="9231" max="9231" width="13.81640625" style="134" customWidth="1"/>
    <col min="9232" max="9472" width="10.7265625" style="134"/>
    <col min="9473" max="9473" width="15.54296875" style="134" bestFit="1" customWidth="1"/>
    <col min="9474" max="9474" width="8.54296875" style="134" customWidth="1"/>
    <col min="9475" max="9475" width="12.453125" style="134" customWidth="1"/>
    <col min="9476" max="9476" width="13.7265625" style="134" customWidth="1"/>
    <col min="9477" max="9479" width="12.81640625" style="134" customWidth="1"/>
    <col min="9480" max="9480" width="12.1796875" style="134" bestFit="1" customWidth="1"/>
    <col min="9481" max="9481" width="12.81640625" style="134" bestFit="1" customWidth="1"/>
    <col min="9482" max="9485" width="12.453125" style="134" customWidth="1"/>
    <col min="9486" max="9486" width="12.81640625" style="134" customWidth="1"/>
    <col min="9487" max="9487" width="13.81640625" style="134" customWidth="1"/>
    <col min="9488" max="9728" width="10.7265625" style="134"/>
    <col min="9729" max="9729" width="15.54296875" style="134" bestFit="1" customWidth="1"/>
    <col min="9730" max="9730" width="8.54296875" style="134" customWidth="1"/>
    <col min="9731" max="9731" width="12.453125" style="134" customWidth="1"/>
    <col min="9732" max="9732" width="13.7265625" style="134" customWidth="1"/>
    <col min="9733" max="9735" width="12.81640625" style="134" customWidth="1"/>
    <col min="9736" max="9736" width="12.1796875" style="134" bestFit="1" customWidth="1"/>
    <col min="9737" max="9737" width="12.81640625" style="134" bestFit="1" customWidth="1"/>
    <col min="9738" max="9741" width="12.453125" style="134" customWidth="1"/>
    <col min="9742" max="9742" width="12.81640625" style="134" customWidth="1"/>
    <col min="9743" max="9743" width="13.81640625" style="134" customWidth="1"/>
    <col min="9744" max="9984" width="10.7265625" style="134"/>
    <col min="9985" max="9985" width="15.54296875" style="134" bestFit="1" customWidth="1"/>
    <col min="9986" max="9986" width="8.54296875" style="134" customWidth="1"/>
    <col min="9987" max="9987" width="12.453125" style="134" customWidth="1"/>
    <col min="9988" max="9988" width="13.7265625" style="134" customWidth="1"/>
    <col min="9989" max="9991" width="12.81640625" style="134" customWidth="1"/>
    <col min="9992" max="9992" width="12.1796875" style="134" bestFit="1" customWidth="1"/>
    <col min="9993" max="9993" width="12.81640625" style="134" bestFit="1" customWidth="1"/>
    <col min="9994" max="9997" width="12.453125" style="134" customWidth="1"/>
    <col min="9998" max="9998" width="12.81640625" style="134" customWidth="1"/>
    <col min="9999" max="9999" width="13.81640625" style="134" customWidth="1"/>
    <col min="10000" max="10240" width="10.7265625" style="134"/>
    <col min="10241" max="10241" width="15.54296875" style="134" bestFit="1" customWidth="1"/>
    <col min="10242" max="10242" width="8.54296875" style="134" customWidth="1"/>
    <col min="10243" max="10243" width="12.453125" style="134" customWidth="1"/>
    <col min="10244" max="10244" width="13.7265625" style="134" customWidth="1"/>
    <col min="10245" max="10247" width="12.81640625" style="134" customWidth="1"/>
    <col min="10248" max="10248" width="12.1796875" style="134" bestFit="1" customWidth="1"/>
    <col min="10249" max="10249" width="12.81640625" style="134" bestFit="1" customWidth="1"/>
    <col min="10250" max="10253" width="12.453125" style="134" customWidth="1"/>
    <col min="10254" max="10254" width="12.81640625" style="134" customWidth="1"/>
    <col min="10255" max="10255" width="13.81640625" style="134" customWidth="1"/>
    <col min="10256" max="10496" width="10.7265625" style="134"/>
    <col min="10497" max="10497" width="15.54296875" style="134" bestFit="1" customWidth="1"/>
    <col min="10498" max="10498" width="8.54296875" style="134" customWidth="1"/>
    <col min="10499" max="10499" width="12.453125" style="134" customWidth="1"/>
    <col min="10500" max="10500" width="13.7265625" style="134" customWidth="1"/>
    <col min="10501" max="10503" width="12.81640625" style="134" customWidth="1"/>
    <col min="10504" max="10504" width="12.1796875" style="134" bestFit="1" customWidth="1"/>
    <col min="10505" max="10505" width="12.81640625" style="134" bestFit="1" customWidth="1"/>
    <col min="10506" max="10509" width="12.453125" style="134" customWidth="1"/>
    <col min="10510" max="10510" width="12.81640625" style="134" customWidth="1"/>
    <col min="10511" max="10511" width="13.81640625" style="134" customWidth="1"/>
    <col min="10512" max="10752" width="10.7265625" style="134"/>
    <col min="10753" max="10753" width="15.54296875" style="134" bestFit="1" customWidth="1"/>
    <col min="10754" max="10754" width="8.54296875" style="134" customWidth="1"/>
    <col min="10755" max="10755" width="12.453125" style="134" customWidth="1"/>
    <col min="10756" max="10756" width="13.7265625" style="134" customWidth="1"/>
    <col min="10757" max="10759" width="12.81640625" style="134" customWidth="1"/>
    <col min="10760" max="10760" width="12.1796875" style="134" bestFit="1" customWidth="1"/>
    <col min="10761" max="10761" width="12.81640625" style="134" bestFit="1" customWidth="1"/>
    <col min="10762" max="10765" width="12.453125" style="134" customWidth="1"/>
    <col min="10766" max="10766" width="12.81640625" style="134" customWidth="1"/>
    <col min="10767" max="10767" width="13.81640625" style="134" customWidth="1"/>
    <col min="10768" max="11008" width="10.7265625" style="134"/>
    <col min="11009" max="11009" width="15.54296875" style="134" bestFit="1" customWidth="1"/>
    <col min="11010" max="11010" width="8.54296875" style="134" customWidth="1"/>
    <col min="11011" max="11011" width="12.453125" style="134" customWidth="1"/>
    <col min="11012" max="11012" width="13.7265625" style="134" customWidth="1"/>
    <col min="11013" max="11015" width="12.81640625" style="134" customWidth="1"/>
    <col min="11016" max="11016" width="12.1796875" style="134" bestFit="1" customWidth="1"/>
    <col min="11017" max="11017" width="12.81640625" style="134" bestFit="1" customWidth="1"/>
    <col min="11018" max="11021" width="12.453125" style="134" customWidth="1"/>
    <col min="11022" max="11022" width="12.81640625" style="134" customWidth="1"/>
    <col min="11023" max="11023" width="13.81640625" style="134" customWidth="1"/>
    <col min="11024" max="11264" width="10.7265625" style="134"/>
    <col min="11265" max="11265" width="15.54296875" style="134" bestFit="1" customWidth="1"/>
    <col min="11266" max="11266" width="8.54296875" style="134" customWidth="1"/>
    <col min="11267" max="11267" width="12.453125" style="134" customWidth="1"/>
    <col min="11268" max="11268" width="13.7265625" style="134" customWidth="1"/>
    <col min="11269" max="11271" width="12.81640625" style="134" customWidth="1"/>
    <col min="11272" max="11272" width="12.1796875" style="134" bestFit="1" customWidth="1"/>
    <col min="11273" max="11273" width="12.81640625" style="134" bestFit="1" customWidth="1"/>
    <col min="11274" max="11277" width="12.453125" style="134" customWidth="1"/>
    <col min="11278" max="11278" width="12.81640625" style="134" customWidth="1"/>
    <col min="11279" max="11279" width="13.81640625" style="134" customWidth="1"/>
    <col min="11280" max="11520" width="10.7265625" style="134"/>
    <col min="11521" max="11521" width="15.54296875" style="134" bestFit="1" customWidth="1"/>
    <col min="11522" max="11522" width="8.54296875" style="134" customWidth="1"/>
    <col min="11523" max="11523" width="12.453125" style="134" customWidth="1"/>
    <col min="11524" max="11524" width="13.7265625" style="134" customWidth="1"/>
    <col min="11525" max="11527" width="12.81640625" style="134" customWidth="1"/>
    <col min="11528" max="11528" width="12.1796875" style="134" bestFit="1" customWidth="1"/>
    <col min="11529" max="11529" width="12.81640625" style="134" bestFit="1" customWidth="1"/>
    <col min="11530" max="11533" width="12.453125" style="134" customWidth="1"/>
    <col min="11534" max="11534" width="12.81640625" style="134" customWidth="1"/>
    <col min="11535" max="11535" width="13.81640625" style="134" customWidth="1"/>
    <col min="11536" max="11776" width="10.7265625" style="134"/>
    <col min="11777" max="11777" width="15.54296875" style="134" bestFit="1" customWidth="1"/>
    <col min="11778" max="11778" width="8.54296875" style="134" customWidth="1"/>
    <col min="11779" max="11779" width="12.453125" style="134" customWidth="1"/>
    <col min="11780" max="11780" width="13.7265625" style="134" customWidth="1"/>
    <col min="11781" max="11783" width="12.81640625" style="134" customWidth="1"/>
    <col min="11784" max="11784" width="12.1796875" style="134" bestFit="1" customWidth="1"/>
    <col min="11785" max="11785" width="12.81640625" style="134" bestFit="1" customWidth="1"/>
    <col min="11786" max="11789" width="12.453125" style="134" customWidth="1"/>
    <col min="11790" max="11790" width="12.81640625" style="134" customWidth="1"/>
    <col min="11791" max="11791" width="13.81640625" style="134" customWidth="1"/>
    <col min="11792" max="12032" width="10.7265625" style="134"/>
    <col min="12033" max="12033" width="15.54296875" style="134" bestFit="1" customWidth="1"/>
    <col min="12034" max="12034" width="8.54296875" style="134" customWidth="1"/>
    <col min="12035" max="12035" width="12.453125" style="134" customWidth="1"/>
    <col min="12036" max="12036" width="13.7265625" style="134" customWidth="1"/>
    <col min="12037" max="12039" width="12.81640625" style="134" customWidth="1"/>
    <col min="12040" max="12040" width="12.1796875" style="134" bestFit="1" customWidth="1"/>
    <col min="12041" max="12041" width="12.81640625" style="134" bestFit="1" customWidth="1"/>
    <col min="12042" max="12045" width="12.453125" style="134" customWidth="1"/>
    <col min="12046" max="12046" width="12.81640625" style="134" customWidth="1"/>
    <col min="12047" max="12047" width="13.81640625" style="134" customWidth="1"/>
    <col min="12048" max="12288" width="10.7265625" style="134"/>
    <col min="12289" max="12289" width="15.54296875" style="134" bestFit="1" customWidth="1"/>
    <col min="12290" max="12290" width="8.54296875" style="134" customWidth="1"/>
    <col min="12291" max="12291" width="12.453125" style="134" customWidth="1"/>
    <col min="12292" max="12292" width="13.7265625" style="134" customWidth="1"/>
    <col min="12293" max="12295" width="12.81640625" style="134" customWidth="1"/>
    <col min="12296" max="12296" width="12.1796875" style="134" bestFit="1" customWidth="1"/>
    <col min="12297" max="12297" width="12.81640625" style="134" bestFit="1" customWidth="1"/>
    <col min="12298" max="12301" width="12.453125" style="134" customWidth="1"/>
    <col min="12302" max="12302" width="12.81640625" style="134" customWidth="1"/>
    <col min="12303" max="12303" width="13.81640625" style="134" customWidth="1"/>
    <col min="12304" max="12544" width="10.7265625" style="134"/>
    <col min="12545" max="12545" width="15.54296875" style="134" bestFit="1" customWidth="1"/>
    <col min="12546" max="12546" width="8.54296875" style="134" customWidth="1"/>
    <col min="12547" max="12547" width="12.453125" style="134" customWidth="1"/>
    <col min="12548" max="12548" width="13.7265625" style="134" customWidth="1"/>
    <col min="12549" max="12551" width="12.81640625" style="134" customWidth="1"/>
    <col min="12552" max="12552" width="12.1796875" style="134" bestFit="1" customWidth="1"/>
    <col min="12553" max="12553" width="12.81640625" style="134" bestFit="1" customWidth="1"/>
    <col min="12554" max="12557" width="12.453125" style="134" customWidth="1"/>
    <col min="12558" max="12558" width="12.81640625" style="134" customWidth="1"/>
    <col min="12559" max="12559" width="13.81640625" style="134" customWidth="1"/>
    <col min="12560" max="12800" width="10.7265625" style="134"/>
    <col min="12801" max="12801" width="15.54296875" style="134" bestFit="1" customWidth="1"/>
    <col min="12802" max="12802" width="8.54296875" style="134" customWidth="1"/>
    <col min="12803" max="12803" width="12.453125" style="134" customWidth="1"/>
    <col min="12804" max="12804" width="13.7265625" style="134" customWidth="1"/>
    <col min="12805" max="12807" width="12.81640625" style="134" customWidth="1"/>
    <col min="12808" max="12808" width="12.1796875" style="134" bestFit="1" customWidth="1"/>
    <col min="12809" max="12809" width="12.81640625" style="134" bestFit="1" customWidth="1"/>
    <col min="12810" max="12813" width="12.453125" style="134" customWidth="1"/>
    <col min="12814" max="12814" width="12.81640625" style="134" customWidth="1"/>
    <col min="12815" max="12815" width="13.81640625" style="134" customWidth="1"/>
    <col min="12816" max="13056" width="10.7265625" style="134"/>
    <col min="13057" max="13057" width="15.54296875" style="134" bestFit="1" customWidth="1"/>
    <col min="13058" max="13058" width="8.54296875" style="134" customWidth="1"/>
    <col min="13059" max="13059" width="12.453125" style="134" customWidth="1"/>
    <col min="13060" max="13060" width="13.7265625" style="134" customWidth="1"/>
    <col min="13061" max="13063" width="12.81640625" style="134" customWidth="1"/>
    <col min="13064" max="13064" width="12.1796875" style="134" bestFit="1" customWidth="1"/>
    <col min="13065" max="13065" width="12.81640625" style="134" bestFit="1" customWidth="1"/>
    <col min="13066" max="13069" width="12.453125" style="134" customWidth="1"/>
    <col min="13070" max="13070" width="12.81640625" style="134" customWidth="1"/>
    <col min="13071" max="13071" width="13.81640625" style="134" customWidth="1"/>
    <col min="13072" max="13312" width="10.7265625" style="134"/>
    <col min="13313" max="13313" width="15.54296875" style="134" bestFit="1" customWidth="1"/>
    <col min="13314" max="13314" width="8.54296875" style="134" customWidth="1"/>
    <col min="13315" max="13315" width="12.453125" style="134" customWidth="1"/>
    <col min="13316" max="13316" width="13.7265625" style="134" customWidth="1"/>
    <col min="13317" max="13319" width="12.81640625" style="134" customWidth="1"/>
    <col min="13320" max="13320" width="12.1796875" style="134" bestFit="1" customWidth="1"/>
    <col min="13321" max="13321" width="12.81640625" style="134" bestFit="1" customWidth="1"/>
    <col min="13322" max="13325" width="12.453125" style="134" customWidth="1"/>
    <col min="13326" max="13326" width="12.81640625" style="134" customWidth="1"/>
    <col min="13327" max="13327" width="13.81640625" style="134" customWidth="1"/>
    <col min="13328" max="13568" width="10.7265625" style="134"/>
    <col min="13569" max="13569" width="15.54296875" style="134" bestFit="1" customWidth="1"/>
    <col min="13570" max="13570" width="8.54296875" style="134" customWidth="1"/>
    <col min="13571" max="13571" width="12.453125" style="134" customWidth="1"/>
    <col min="13572" max="13572" width="13.7265625" style="134" customWidth="1"/>
    <col min="13573" max="13575" width="12.81640625" style="134" customWidth="1"/>
    <col min="13576" max="13576" width="12.1796875" style="134" bestFit="1" customWidth="1"/>
    <col min="13577" max="13577" width="12.81640625" style="134" bestFit="1" customWidth="1"/>
    <col min="13578" max="13581" width="12.453125" style="134" customWidth="1"/>
    <col min="13582" max="13582" width="12.81640625" style="134" customWidth="1"/>
    <col min="13583" max="13583" width="13.81640625" style="134" customWidth="1"/>
    <col min="13584" max="13824" width="10.7265625" style="134"/>
    <col min="13825" max="13825" width="15.54296875" style="134" bestFit="1" customWidth="1"/>
    <col min="13826" max="13826" width="8.54296875" style="134" customWidth="1"/>
    <col min="13827" max="13827" width="12.453125" style="134" customWidth="1"/>
    <col min="13828" max="13828" width="13.7265625" style="134" customWidth="1"/>
    <col min="13829" max="13831" width="12.81640625" style="134" customWidth="1"/>
    <col min="13832" max="13832" width="12.1796875" style="134" bestFit="1" customWidth="1"/>
    <col min="13833" max="13833" width="12.81640625" style="134" bestFit="1" customWidth="1"/>
    <col min="13834" max="13837" width="12.453125" style="134" customWidth="1"/>
    <col min="13838" max="13838" width="12.81640625" style="134" customWidth="1"/>
    <col min="13839" max="13839" width="13.81640625" style="134" customWidth="1"/>
    <col min="13840" max="14080" width="10.7265625" style="134"/>
    <col min="14081" max="14081" width="15.54296875" style="134" bestFit="1" customWidth="1"/>
    <col min="14082" max="14082" width="8.54296875" style="134" customWidth="1"/>
    <col min="14083" max="14083" width="12.453125" style="134" customWidth="1"/>
    <col min="14084" max="14084" width="13.7265625" style="134" customWidth="1"/>
    <col min="14085" max="14087" width="12.81640625" style="134" customWidth="1"/>
    <col min="14088" max="14088" width="12.1796875" style="134" bestFit="1" customWidth="1"/>
    <col min="14089" max="14089" width="12.81640625" style="134" bestFit="1" customWidth="1"/>
    <col min="14090" max="14093" width="12.453125" style="134" customWidth="1"/>
    <col min="14094" max="14094" width="12.81640625" style="134" customWidth="1"/>
    <col min="14095" max="14095" width="13.81640625" style="134" customWidth="1"/>
    <col min="14096" max="14336" width="10.7265625" style="134"/>
    <col min="14337" max="14337" width="15.54296875" style="134" bestFit="1" customWidth="1"/>
    <col min="14338" max="14338" width="8.54296875" style="134" customWidth="1"/>
    <col min="14339" max="14339" width="12.453125" style="134" customWidth="1"/>
    <col min="14340" max="14340" width="13.7265625" style="134" customWidth="1"/>
    <col min="14341" max="14343" width="12.81640625" style="134" customWidth="1"/>
    <col min="14344" max="14344" width="12.1796875" style="134" bestFit="1" customWidth="1"/>
    <col min="14345" max="14345" width="12.81640625" style="134" bestFit="1" customWidth="1"/>
    <col min="14346" max="14349" width="12.453125" style="134" customWidth="1"/>
    <col min="14350" max="14350" width="12.81640625" style="134" customWidth="1"/>
    <col min="14351" max="14351" width="13.81640625" style="134" customWidth="1"/>
    <col min="14352" max="14592" width="10.7265625" style="134"/>
    <col min="14593" max="14593" width="15.54296875" style="134" bestFit="1" customWidth="1"/>
    <col min="14594" max="14594" width="8.54296875" style="134" customWidth="1"/>
    <col min="14595" max="14595" width="12.453125" style="134" customWidth="1"/>
    <col min="14596" max="14596" width="13.7265625" style="134" customWidth="1"/>
    <col min="14597" max="14599" width="12.81640625" style="134" customWidth="1"/>
    <col min="14600" max="14600" width="12.1796875" style="134" bestFit="1" customWidth="1"/>
    <col min="14601" max="14601" width="12.81640625" style="134" bestFit="1" customWidth="1"/>
    <col min="14602" max="14605" width="12.453125" style="134" customWidth="1"/>
    <col min="14606" max="14606" width="12.81640625" style="134" customWidth="1"/>
    <col min="14607" max="14607" width="13.81640625" style="134" customWidth="1"/>
    <col min="14608" max="14848" width="10.7265625" style="134"/>
    <col min="14849" max="14849" width="15.54296875" style="134" bestFit="1" customWidth="1"/>
    <col min="14850" max="14850" width="8.54296875" style="134" customWidth="1"/>
    <col min="14851" max="14851" width="12.453125" style="134" customWidth="1"/>
    <col min="14852" max="14852" width="13.7265625" style="134" customWidth="1"/>
    <col min="14853" max="14855" width="12.81640625" style="134" customWidth="1"/>
    <col min="14856" max="14856" width="12.1796875" style="134" bestFit="1" customWidth="1"/>
    <col min="14857" max="14857" width="12.81640625" style="134" bestFit="1" customWidth="1"/>
    <col min="14858" max="14861" width="12.453125" style="134" customWidth="1"/>
    <col min="14862" max="14862" width="12.81640625" style="134" customWidth="1"/>
    <col min="14863" max="14863" width="13.81640625" style="134" customWidth="1"/>
    <col min="14864" max="15104" width="10.7265625" style="134"/>
    <col min="15105" max="15105" width="15.54296875" style="134" bestFit="1" customWidth="1"/>
    <col min="15106" max="15106" width="8.54296875" style="134" customWidth="1"/>
    <col min="15107" max="15107" width="12.453125" style="134" customWidth="1"/>
    <col min="15108" max="15108" width="13.7265625" style="134" customWidth="1"/>
    <col min="15109" max="15111" width="12.81640625" style="134" customWidth="1"/>
    <col min="15112" max="15112" width="12.1796875" style="134" bestFit="1" customWidth="1"/>
    <col min="15113" max="15113" width="12.81640625" style="134" bestFit="1" customWidth="1"/>
    <col min="15114" max="15117" width="12.453125" style="134" customWidth="1"/>
    <col min="15118" max="15118" width="12.81640625" style="134" customWidth="1"/>
    <col min="15119" max="15119" width="13.81640625" style="134" customWidth="1"/>
    <col min="15120" max="15360" width="10.7265625" style="134"/>
    <col min="15361" max="15361" width="15.54296875" style="134" bestFit="1" customWidth="1"/>
    <col min="15362" max="15362" width="8.54296875" style="134" customWidth="1"/>
    <col min="15363" max="15363" width="12.453125" style="134" customWidth="1"/>
    <col min="15364" max="15364" width="13.7265625" style="134" customWidth="1"/>
    <col min="15365" max="15367" width="12.81640625" style="134" customWidth="1"/>
    <col min="15368" max="15368" width="12.1796875" style="134" bestFit="1" customWidth="1"/>
    <col min="15369" max="15369" width="12.81640625" style="134" bestFit="1" customWidth="1"/>
    <col min="15370" max="15373" width="12.453125" style="134" customWidth="1"/>
    <col min="15374" max="15374" width="12.81640625" style="134" customWidth="1"/>
    <col min="15375" max="15375" width="13.81640625" style="134" customWidth="1"/>
    <col min="15376" max="15616" width="10.7265625" style="134"/>
    <col min="15617" max="15617" width="15.54296875" style="134" bestFit="1" customWidth="1"/>
    <col min="15618" max="15618" width="8.54296875" style="134" customWidth="1"/>
    <col min="15619" max="15619" width="12.453125" style="134" customWidth="1"/>
    <col min="15620" max="15620" width="13.7265625" style="134" customWidth="1"/>
    <col min="15621" max="15623" width="12.81640625" style="134" customWidth="1"/>
    <col min="15624" max="15624" width="12.1796875" style="134" bestFit="1" customWidth="1"/>
    <col min="15625" max="15625" width="12.81640625" style="134" bestFit="1" customWidth="1"/>
    <col min="15626" max="15629" width="12.453125" style="134" customWidth="1"/>
    <col min="15630" max="15630" width="12.81640625" style="134" customWidth="1"/>
    <col min="15631" max="15631" width="13.81640625" style="134" customWidth="1"/>
    <col min="15632" max="15872" width="10.7265625" style="134"/>
    <col min="15873" max="15873" width="15.54296875" style="134" bestFit="1" customWidth="1"/>
    <col min="15874" max="15874" width="8.54296875" style="134" customWidth="1"/>
    <col min="15875" max="15875" width="12.453125" style="134" customWidth="1"/>
    <col min="15876" max="15876" width="13.7265625" style="134" customWidth="1"/>
    <col min="15877" max="15879" width="12.81640625" style="134" customWidth="1"/>
    <col min="15880" max="15880" width="12.1796875" style="134" bestFit="1" customWidth="1"/>
    <col min="15881" max="15881" width="12.81640625" style="134" bestFit="1" customWidth="1"/>
    <col min="15882" max="15885" width="12.453125" style="134" customWidth="1"/>
    <col min="15886" max="15886" width="12.81640625" style="134" customWidth="1"/>
    <col min="15887" max="15887" width="13.81640625" style="134" customWidth="1"/>
    <col min="15888" max="16128" width="10.7265625" style="134"/>
    <col min="16129" max="16129" width="15.54296875" style="134" bestFit="1" customWidth="1"/>
    <col min="16130" max="16130" width="8.54296875" style="134" customWidth="1"/>
    <col min="16131" max="16131" width="12.453125" style="134" customWidth="1"/>
    <col min="16132" max="16132" width="13.7265625" style="134" customWidth="1"/>
    <col min="16133" max="16135" width="12.81640625" style="134" customWidth="1"/>
    <col min="16136" max="16136" width="12.1796875" style="134" bestFit="1" customWidth="1"/>
    <col min="16137" max="16137" width="12.81640625" style="134" bestFit="1" customWidth="1"/>
    <col min="16138" max="16141" width="12.453125" style="134" customWidth="1"/>
    <col min="16142" max="16142" width="12.81640625" style="134" customWidth="1"/>
    <col min="16143" max="16143" width="13.81640625" style="134" customWidth="1"/>
    <col min="16144" max="16384" width="10.7265625" style="134"/>
  </cols>
  <sheetData>
    <row r="1" spans="1:20">
      <c r="A1" s="133" t="s">
        <v>3261</v>
      </c>
      <c r="B1" s="877">
        <v>43465</v>
      </c>
      <c r="C1" s="878"/>
      <c r="D1" s="878"/>
      <c r="E1" s="878"/>
      <c r="F1" s="878"/>
      <c r="G1" s="878"/>
      <c r="H1" s="878"/>
      <c r="I1" s="879"/>
    </row>
    <row r="2" spans="1:20">
      <c r="A2" s="136" t="s">
        <v>3262</v>
      </c>
      <c r="B2" s="880" t="s">
        <v>3263</v>
      </c>
      <c r="C2" s="881"/>
      <c r="D2" s="881"/>
      <c r="E2" s="881"/>
      <c r="F2" s="881"/>
      <c r="G2" s="881"/>
      <c r="H2" s="881"/>
      <c r="I2" s="882"/>
    </row>
    <row r="3" spans="1:20">
      <c r="A3" s="136" t="s">
        <v>3264</v>
      </c>
      <c r="B3" s="883" t="s">
        <v>3265</v>
      </c>
      <c r="C3" s="884"/>
      <c r="D3" s="884"/>
      <c r="E3" s="885"/>
      <c r="F3" s="137"/>
      <c r="G3" s="137"/>
      <c r="H3" s="883" t="s">
        <v>3266</v>
      </c>
      <c r="I3" s="886"/>
      <c r="J3" s="138"/>
      <c r="K3" s="138"/>
      <c r="L3" s="138"/>
      <c r="M3" s="138"/>
      <c r="N3" s="138"/>
    </row>
    <row r="4" spans="1:20">
      <c r="A4" s="136" t="s">
        <v>3267</v>
      </c>
      <c r="B4" s="887" t="s">
        <v>3268</v>
      </c>
      <c r="C4" s="888"/>
      <c r="D4" s="888"/>
      <c r="E4" s="888"/>
      <c r="F4" s="888"/>
      <c r="G4" s="888"/>
      <c r="H4" s="888"/>
      <c r="I4" s="889"/>
    </row>
    <row r="5" spans="1:20">
      <c r="A5" s="136" t="s">
        <v>3269</v>
      </c>
      <c r="B5" s="890"/>
      <c r="C5" s="891"/>
      <c r="D5" s="891"/>
      <c r="E5" s="891"/>
      <c r="F5" s="891"/>
      <c r="G5" s="891"/>
      <c r="H5" s="891"/>
      <c r="I5" s="892"/>
    </row>
    <row r="6" spans="1:20">
      <c r="A6" s="136" t="s">
        <v>3270</v>
      </c>
      <c r="B6" s="880"/>
      <c r="C6" s="881"/>
      <c r="D6" s="881"/>
      <c r="E6" s="881"/>
      <c r="F6" s="881"/>
      <c r="G6" s="881"/>
      <c r="H6" s="881"/>
      <c r="I6" s="882"/>
    </row>
    <row r="7" spans="1:20" ht="16" thickBot="1">
      <c r="A7" s="139" t="s">
        <v>3271</v>
      </c>
      <c r="B7" s="893"/>
      <c r="C7" s="894"/>
      <c r="D7" s="894"/>
      <c r="E7" s="894"/>
      <c r="F7" s="894"/>
      <c r="G7" s="894"/>
      <c r="H7" s="894"/>
      <c r="I7" s="895"/>
    </row>
    <row r="8" spans="1:20" s="141" customFormat="1" ht="18">
      <c r="A8" s="140" t="s">
        <v>3272</v>
      </c>
      <c r="B8" s="140"/>
      <c r="C8" s="140"/>
      <c r="D8" s="140"/>
      <c r="E8" s="140"/>
      <c r="F8" s="140"/>
      <c r="G8" s="140"/>
      <c r="H8" s="140"/>
      <c r="I8" s="140"/>
      <c r="T8" s="142"/>
    </row>
    <row r="9" spans="1:20">
      <c r="A9" s="134" t="s">
        <v>3273</v>
      </c>
      <c r="C9" s="143" t="s">
        <v>3274</v>
      </c>
      <c r="H9" s="144" t="s">
        <v>3275</v>
      </c>
      <c r="I9" s="145"/>
      <c r="J9" s="145"/>
      <c r="K9" s="145"/>
      <c r="L9" s="145"/>
      <c r="M9" s="145"/>
      <c r="N9" s="145"/>
      <c r="O9" s="146"/>
    </row>
    <row r="10" spans="1:20">
      <c r="A10" s="134" t="s">
        <v>3276</v>
      </c>
      <c r="C10" s="143">
        <v>2000</v>
      </c>
      <c r="H10" s="147" t="s">
        <v>3277</v>
      </c>
      <c r="I10" s="148"/>
      <c r="J10" s="148"/>
      <c r="K10" s="148"/>
      <c r="L10" s="148"/>
      <c r="M10" s="148"/>
      <c r="N10" s="148"/>
      <c r="O10" s="149"/>
    </row>
    <row r="11" spans="1:20">
      <c r="E11" s="135"/>
      <c r="F11" s="135"/>
      <c r="G11" s="135"/>
    </row>
    <row r="12" spans="1:20">
      <c r="A12" s="134" t="s">
        <v>3278</v>
      </c>
      <c r="D12" s="150">
        <f>IF(C10=1928,100,VLOOKUP(C10-1,A19:M113,8))</f>
        <v>156658.0490724665</v>
      </c>
      <c r="E12" s="151"/>
      <c r="S12" s="135"/>
      <c r="T12" s="134"/>
    </row>
    <row r="13" spans="1:20">
      <c r="A13" s="134" t="s">
        <v>3279</v>
      </c>
      <c r="D13" s="150">
        <f>IF(C10=1928,100,VLOOKUP(C10-1,A19:J113,9))</f>
        <v>1516.0468253839256</v>
      </c>
      <c r="E13" s="151"/>
      <c r="S13" s="135"/>
      <c r="T13" s="134"/>
    </row>
    <row r="14" spans="1:20">
      <c r="A14" s="134" t="s">
        <v>3280</v>
      </c>
      <c r="D14" s="150">
        <f>IF(C10=1928,100,VLOOKUP(C10-1,A18:J113,10))</f>
        <v>2912.8788088601259</v>
      </c>
      <c r="E14" s="151"/>
      <c r="S14" s="135"/>
      <c r="T14" s="134"/>
    </row>
    <row r="15" spans="1:20" ht="16" thickBot="1">
      <c r="A15" s="134" t="s">
        <v>3281</v>
      </c>
      <c r="D15" s="152">
        <f>IF(C9="ST",(H113/D12)^(1/(A113-C10+1))-(I113/D13)^(1/(A113-C10+1)),(H113/D12)^(1/(A113-C10+1))-(J113/D14)^(1/(A113-C10+1)))</f>
        <v>2.30725378288692E-2</v>
      </c>
      <c r="E15" s="153"/>
      <c r="S15" s="135"/>
      <c r="T15" s="134"/>
    </row>
    <row r="16" spans="1:20" ht="16" thickBot="1"/>
    <row r="17" spans="1:25" ht="16" thickBot="1">
      <c r="B17" s="868" t="s">
        <v>3282</v>
      </c>
      <c r="C17" s="869"/>
      <c r="D17" s="869"/>
      <c r="E17" s="869"/>
      <c r="F17" s="154"/>
      <c r="G17" s="154"/>
      <c r="H17" s="868" t="s">
        <v>3283</v>
      </c>
      <c r="I17" s="869"/>
      <c r="J17" s="869"/>
      <c r="K17" s="869"/>
      <c r="L17" s="869"/>
      <c r="M17" s="870"/>
      <c r="N17" s="868" t="s">
        <v>3284</v>
      </c>
      <c r="O17" s="869"/>
      <c r="P17" s="869"/>
      <c r="Q17" s="870"/>
      <c r="R17" s="875" t="s">
        <v>3285</v>
      </c>
      <c r="S17" s="876"/>
      <c r="T17" s="876"/>
      <c r="U17" s="876"/>
      <c r="V17" s="876"/>
      <c r="W17" s="876"/>
      <c r="X17" s="156"/>
      <c r="Y17" s="156"/>
    </row>
    <row r="18" spans="1:25" s="160" customFormat="1" ht="77.5">
      <c r="A18" s="157" t="s">
        <v>3286</v>
      </c>
      <c r="B18" s="157" t="s">
        <v>3287</v>
      </c>
      <c r="C18" s="157" t="s">
        <v>3288</v>
      </c>
      <c r="D18" s="157" t="s">
        <v>3289</v>
      </c>
      <c r="E18" s="157" t="s">
        <v>3290</v>
      </c>
      <c r="F18" s="157" t="s">
        <v>3291</v>
      </c>
      <c r="G18" s="157" t="s">
        <v>3292</v>
      </c>
      <c r="H18" s="157" t="s">
        <v>3293</v>
      </c>
      <c r="I18" s="157" t="s">
        <v>3294</v>
      </c>
      <c r="J18" s="157" t="s">
        <v>3295</v>
      </c>
      <c r="K18" s="157" t="s">
        <v>3296</v>
      </c>
      <c r="L18" s="157" t="s">
        <v>3297</v>
      </c>
      <c r="M18" s="157" t="s">
        <v>3298</v>
      </c>
      <c r="N18" s="158" t="s">
        <v>3299</v>
      </c>
      <c r="O18" s="158" t="s">
        <v>3300</v>
      </c>
      <c r="P18" s="159" t="s">
        <v>3301</v>
      </c>
      <c r="Q18" s="159" t="s">
        <v>3302</v>
      </c>
      <c r="R18" s="158" t="s">
        <v>3303</v>
      </c>
      <c r="S18" s="158" t="s">
        <v>3304</v>
      </c>
      <c r="T18" s="158" t="s">
        <v>3305</v>
      </c>
      <c r="U18" s="158" t="s">
        <v>3306</v>
      </c>
      <c r="V18" s="158" t="s">
        <v>3307</v>
      </c>
      <c r="W18" s="158" t="s">
        <v>3308</v>
      </c>
      <c r="X18" s="158" t="s">
        <v>3309</v>
      </c>
    </row>
    <row r="19" spans="1:25">
      <c r="A19" s="161">
        <v>1928</v>
      </c>
      <c r="B19" s="162">
        <v>0.43811155152887893</v>
      </c>
      <c r="C19" s="162">
        <v>3.0800000000000001E-2</v>
      </c>
      <c r="D19" s="162">
        <v>8.354708589799302E-3</v>
      </c>
      <c r="E19" s="162">
        <v>3.2195514702324381E-2</v>
      </c>
      <c r="F19" s="162">
        <v>1.491053677932408E-2</v>
      </c>
      <c r="G19" s="162">
        <v>9.6899224806201723E-4</v>
      </c>
      <c r="H19" s="163">
        <f t="shared" ref="H19:M19" si="0">100*(1+B19)</f>
        <v>143.81115515288789</v>
      </c>
      <c r="I19" s="163">
        <f t="shared" si="0"/>
        <v>103.08</v>
      </c>
      <c r="J19" s="163">
        <f t="shared" si="0"/>
        <v>100.83547085897993</v>
      </c>
      <c r="K19" s="163">
        <f t="shared" si="0"/>
        <v>103.21955147023243</v>
      </c>
      <c r="L19" s="163">
        <f t="shared" si="0"/>
        <v>101.49105367793241</v>
      </c>
      <c r="M19" s="163">
        <f t="shared" si="0"/>
        <v>100.09689922480621</v>
      </c>
      <c r="N19" s="162">
        <f t="shared" ref="N19:N82" si="1">B19-C19</f>
        <v>0.40731155152887893</v>
      </c>
      <c r="O19" s="162">
        <f t="shared" ref="O19:O82" si="2">B19-D19</f>
        <v>0.42975684293907962</v>
      </c>
      <c r="P19" s="164">
        <f t="shared" ref="P19:P82" si="3">B19-E19</f>
        <v>0.40591603682655453</v>
      </c>
      <c r="Q19" s="165"/>
      <c r="R19" s="166">
        <v>-1.15607E-2</v>
      </c>
      <c r="S19" s="167">
        <f t="shared" ref="S19:X50" si="4">(1+B19)/(1+$R19)-1</f>
        <v>0.45493157903462444</v>
      </c>
      <c r="T19" s="167">
        <f t="shared" si="4"/>
        <v>4.2856147059308514E-2</v>
      </c>
      <c r="U19" s="167">
        <f t="shared" si="4"/>
        <v>2.0148337474844569E-2</v>
      </c>
      <c r="V19" s="167">
        <f t="shared" si="4"/>
        <v>4.4267983580098758E-2</v>
      </c>
      <c r="W19" s="167">
        <f t="shared" si="4"/>
        <v>2.678084206012854E-2</v>
      </c>
      <c r="X19" s="167">
        <f t="shared" si="4"/>
        <v>1.2676238437769438E-2</v>
      </c>
    </row>
    <row r="20" spans="1:25">
      <c r="A20" s="161">
        <v>1929</v>
      </c>
      <c r="B20" s="162">
        <v>-8.2979466119096595E-2</v>
      </c>
      <c r="C20" s="162">
        <v>3.1600000000000003E-2</v>
      </c>
      <c r="D20" s="162">
        <v>4.2038041563204259E-2</v>
      </c>
      <c r="E20" s="162">
        <v>3.0178562399040432E-2</v>
      </c>
      <c r="F20" s="162">
        <v>-2.0568070519098924E-2</v>
      </c>
      <c r="G20" s="162">
        <v>-1.4520813165538327E-3</v>
      </c>
      <c r="H20" s="163">
        <f t="shared" ref="H20:M35" si="5">H19*(1+B20)</f>
        <v>131.87778227633069</v>
      </c>
      <c r="I20" s="163">
        <f t="shared" si="5"/>
        <v>106.337328</v>
      </c>
      <c r="J20" s="163">
        <f t="shared" si="5"/>
        <v>105.074396573995</v>
      </c>
      <c r="K20" s="163">
        <f t="shared" si="5"/>
        <v>106.33456914507781</v>
      </c>
      <c r="L20" s="163">
        <f t="shared" si="5"/>
        <v>99.40357852882704</v>
      </c>
      <c r="M20" s="163">
        <f t="shared" si="5"/>
        <v>99.951550387596896</v>
      </c>
      <c r="N20" s="162">
        <f t="shared" si="1"/>
        <v>-0.1145794661190966</v>
      </c>
      <c r="O20" s="162">
        <f t="shared" si="2"/>
        <v>-0.12501750768230085</v>
      </c>
      <c r="P20" s="164">
        <f t="shared" si="3"/>
        <v>-0.11315802851813703</v>
      </c>
      <c r="Q20" s="165"/>
      <c r="R20" s="166">
        <v>5.8479999999999999E-3</v>
      </c>
      <c r="S20" s="168">
        <f t="shared" si="4"/>
        <v>-8.8311023255100762E-2</v>
      </c>
      <c r="T20" s="168">
        <f t="shared" si="4"/>
        <v>2.5602277878963742E-2</v>
      </c>
      <c r="U20" s="168">
        <f t="shared" si="4"/>
        <v>3.5979632671342188E-2</v>
      </c>
      <c r="V20" s="168">
        <f t="shared" si="4"/>
        <v>2.4189104515831783E-2</v>
      </c>
      <c r="W20" s="168">
        <f t="shared" si="4"/>
        <v>-2.6262487492244357E-2</v>
      </c>
      <c r="X20" s="168">
        <f t="shared" si="4"/>
        <v>-7.2576386457535724E-3</v>
      </c>
    </row>
    <row r="21" spans="1:25">
      <c r="A21" s="161">
        <v>1930</v>
      </c>
      <c r="B21" s="162">
        <v>-0.25123636363636365</v>
      </c>
      <c r="C21" s="162">
        <v>4.5499999999999999E-2</v>
      </c>
      <c r="D21" s="162">
        <v>4.5409314348970366E-2</v>
      </c>
      <c r="E21" s="162">
        <v>5.3978094648238287E-3</v>
      </c>
      <c r="F21" s="162">
        <v>-4.2999999999999927E-2</v>
      </c>
      <c r="G21" s="162">
        <v>9.6946194861846635E-4</v>
      </c>
      <c r="H21" s="163">
        <f t="shared" si="5"/>
        <v>98.745287812797272</v>
      </c>
      <c r="I21" s="163">
        <f t="shared" si="5"/>
        <v>111.17567642400002</v>
      </c>
      <c r="J21" s="163">
        <f t="shared" si="5"/>
        <v>109.84575287805193</v>
      </c>
      <c r="K21" s="163">
        <f t="shared" si="5"/>
        <v>106.90854288884708</v>
      </c>
      <c r="L21" s="163">
        <f t="shared" si="5"/>
        <v>95.129224652087487</v>
      </c>
      <c r="M21" s="163">
        <f t="shared" si="5"/>
        <v>100.04844961240309</v>
      </c>
      <c r="N21" s="162">
        <f t="shared" si="1"/>
        <v>-0.29673636363636363</v>
      </c>
      <c r="O21" s="162">
        <f t="shared" si="2"/>
        <v>-0.29664567798533403</v>
      </c>
      <c r="P21" s="164">
        <f t="shared" si="3"/>
        <v>-0.25663417310118747</v>
      </c>
      <c r="Q21" s="165"/>
      <c r="R21" s="166">
        <v>-6.3953499999999996E-2</v>
      </c>
      <c r="S21" s="168">
        <f t="shared" si="4"/>
        <v>-0.20007858972429649</v>
      </c>
      <c r="T21" s="168">
        <f t="shared" si="4"/>
        <v>0.11693169089356137</v>
      </c>
      <c r="U21" s="168">
        <f t="shared" si="4"/>
        <v>0.11683480932728285</v>
      </c>
      <c r="V21" s="168">
        <f t="shared" si="4"/>
        <v>7.4089598609496266E-2</v>
      </c>
      <c r="W21" s="168">
        <f t="shared" si="4"/>
        <v>2.2385105868138133E-2</v>
      </c>
      <c r="X21" s="168">
        <f t="shared" si="4"/>
        <v>6.9358693129687898E-2</v>
      </c>
    </row>
    <row r="22" spans="1:25">
      <c r="A22" s="161">
        <v>1931</v>
      </c>
      <c r="B22" s="162">
        <v>-0.43837548891786188</v>
      </c>
      <c r="C22" s="162">
        <v>2.3099999999999999E-2</v>
      </c>
      <c r="D22" s="162">
        <v>-2.5588559619422531E-2</v>
      </c>
      <c r="E22" s="162">
        <v>-0.15680775082667592</v>
      </c>
      <c r="F22" s="162">
        <v>-8.1504702194357348E-2</v>
      </c>
      <c r="G22" s="162">
        <v>-0.17384987893462467</v>
      </c>
      <c r="H22" s="163">
        <f t="shared" si="5"/>
        <v>55.457773989527276</v>
      </c>
      <c r="I22" s="163">
        <f t="shared" si="5"/>
        <v>113.74383454939441</v>
      </c>
      <c r="J22" s="163">
        <f t="shared" si="5"/>
        <v>107.03495828159154</v>
      </c>
      <c r="K22" s="163">
        <f t="shared" si="5"/>
        <v>90.144454734289752</v>
      </c>
      <c r="L22" s="163">
        <f t="shared" si="5"/>
        <v>87.375745526838983</v>
      </c>
      <c r="M22" s="163">
        <f t="shared" si="5"/>
        <v>82.655038759689916</v>
      </c>
      <c r="N22" s="162">
        <f t="shared" si="1"/>
        <v>-0.46147548891786189</v>
      </c>
      <c r="O22" s="162">
        <f t="shared" si="2"/>
        <v>-0.41278692929843935</v>
      </c>
      <c r="P22" s="164">
        <f t="shared" si="3"/>
        <v>-0.28156773809118596</v>
      </c>
      <c r="Q22" s="165"/>
      <c r="R22" s="166">
        <v>-9.3167700000000006E-2</v>
      </c>
      <c r="S22" s="168">
        <f t="shared" si="4"/>
        <v>-0.38067434179159909</v>
      </c>
      <c r="T22" s="168">
        <f t="shared" si="4"/>
        <v>0.1282130113803841</v>
      </c>
      <c r="U22" s="168">
        <f t="shared" si="4"/>
        <v>7.4522202595317166E-2</v>
      </c>
      <c r="V22" s="168">
        <f t="shared" si="4"/>
        <v>-7.0178412068775953E-2</v>
      </c>
      <c r="W22" s="168">
        <f t="shared" si="4"/>
        <v>1.2861250978425165E-2</v>
      </c>
      <c r="X22" s="168">
        <f t="shared" si="4"/>
        <v>-8.8971443710843423E-2</v>
      </c>
    </row>
    <row r="23" spans="1:25">
      <c r="A23" s="161">
        <v>1932</v>
      </c>
      <c r="B23" s="162">
        <v>-8.642364532019696E-2</v>
      </c>
      <c r="C23" s="162">
        <v>1.0699999999999999E-2</v>
      </c>
      <c r="D23" s="162">
        <v>8.7903069904773257E-2</v>
      </c>
      <c r="E23" s="162">
        <v>0.23589601675740196</v>
      </c>
      <c r="F23" s="162">
        <v>-0.10466439135381123</v>
      </c>
      <c r="G23" s="162">
        <v>0.21277842907385724</v>
      </c>
      <c r="H23" s="163">
        <f t="shared" si="5"/>
        <v>50.664911000008722</v>
      </c>
      <c r="I23" s="163">
        <f t="shared" si="5"/>
        <v>114.96089357907292</v>
      </c>
      <c r="J23" s="163">
        <f t="shared" si="5"/>
        <v>116.44365970167279</v>
      </c>
      <c r="K23" s="163">
        <f t="shared" si="5"/>
        <v>111.40917253887663</v>
      </c>
      <c r="L23" s="163">
        <f t="shared" si="5"/>
        <v>78.230616302186888</v>
      </c>
      <c r="M23" s="163">
        <f t="shared" si="5"/>
        <v>100.24224806201552</v>
      </c>
      <c r="N23" s="162">
        <f t="shared" si="1"/>
        <v>-9.7123645320196961E-2</v>
      </c>
      <c r="O23" s="162">
        <f t="shared" si="2"/>
        <v>-0.17432671522497023</v>
      </c>
      <c r="P23" s="164">
        <f t="shared" si="3"/>
        <v>-0.32231966207759893</v>
      </c>
      <c r="Q23" s="165"/>
      <c r="R23" s="166">
        <v>-0.1027397</v>
      </c>
      <c r="S23" s="168">
        <f t="shared" si="4"/>
        <v>1.8184304688174668E-2</v>
      </c>
      <c r="T23" s="168">
        <f t="shared" si="4"/>
        <v>0.12642897495854877</v>
      </c>
      <c r="U23" s="168">
        <f t="shared" si="4"/>
        <v>0.21247208853971733</v>
      </c>
      <c r="V23" s="168">
        <f t="shared" si="4"/>
        <v>0.37741078788106641</v>
      </c>
      <c r="W23" s="168">
        <f t="shared" si="4"/>
        <v>-2.1450757977492518E-3</v>
      </c>
      <c r="X23" s="168">
        <f t="shared" si="4"/>
        <v>0.35164614892005952</v>
      </c>
    </row>
    <row r="24" spans="1:25">
      <c r="A24" s="161">
        <v>1933</v>
      </c>
      <c r="B24" s="162">
        <v>0.49982225433526023</v>
      </c>
      <c r="C24" s="162">
        <v>9.5999999999999992E-3</v>
      </c>
      <c r="D24" s="162">
        <v>1.8552720891857361E-2</v>
      </c>
      <c r="E24" s="162">
        <v>0.1296689369754826</v>
      </c>
      <c r="F24" s="162">
        <v>-3.811944091486652E-2</v>
      </c>
      <c r="G24" s="162">
        <v>0.27259545674238739</v>
      </c>
      <c r="H24" s="163">
        <f t="shared" si="5"/>
        <v>75.988361031728402</v>
      </c>
      <c r="I24" s="163">
        <f t="shared" si="5"/>
        <v>116.06451815743202</v>
      </c>
      <c r="J24" s="163">
        <f t="shared" si="5"/>
        <v>118.60400641974435</v>
      </c>
      <c r="K24" s="163">
        <f t="shared" si="5"/>
        <v>125.8554815113109</v>
      </c>
      <c r="L24" s="163">
        <f t="shared" si="5"/>
        <v>75.248508946322076</v>
      </c>
      <c r="M24" s="163">
        <f t="shared" si="5"/>
        <v>127.56782945736434</v>
      </c>
      <c r="N24" s="162">
        <f t="shared" si="1"/>
        <v>0.49022225433526023</v>
      </c>
      <c r="O24" s="162">
        <f t="shared" si="2"/>
        <v>0.48126953344340284</v>
      </c>
      <c r="P24" s="164">
        <f t="shared" si="3"/>
        <v>0.37015331735977763</v>
      </c>
      <c r="Q24" s="165"/>
      <c r="R24" s="166">
        <v>7.6336000000000008E-3</v>
      </c>
      <c r="S24" s="168">
        <f t="shared" si="4"/>
        <v>0.48845994648775148</v>
      </c>
      <c r="T24" s="168">
        <f t="shared" si="4"/>
        <v>1.9515030066485917E-3</v>
      </c>
      <c r="U24" s="168">
        <f t="shared" si="4"/>
        <v>1.0836400147690162E-2</v>
      </c>
      <c r="V24" s="168">
        <f t="shared" si="4"/>
        <v>0.12111082537887063</v>
      </c>
      <c r="W24" s="168">
        <f t="shared" si="4"/>
        <v>-4.5406426418160728E-2</v>
      </c>
      <c r="X24" s="168">
        <f t="shared" si="4"/>
        <v>0.26295456676155649</v>
      </c>
    </row>
    <row r="25" spans="1:25">
      <c r="A25" s="161">
        <v>1934</v>
      </c>
      <c r="B25" s="162">
        <v>-1.1885656970912803E-2</v>
      </c>
      <c r="C25" s="162">
        <v>2.7833333333333334E-3</v>
      </c>
      <c r="D25" s="162">
        <v>7.9634426179656104E-2</v>
      </c>
      <c r="E25" s="162">
        <v>0.18816429268482648</v>
      </c>
      <c r="F25" s="162">
        <v>2.9062087186261465E-2</v>
      </c>
      <c r="G25" s="162">
        <v>0.31750854538549178</v>
      </c>
      <c r="H25" s="163">
        <f t="shared" si="5"/>
        <v>75.085189438723404</v>
      </c>
      <c r="I25" s="163">
        <f t="shared" si="5"/>
        <v>116.38756439963687</v>
      </c>
      <c r="J25" s="163">
        <f t="shared" si="5"/>
        <v>128.04896841358894</v>
      </c>
      <c r="K25" s="163">
        <f t="shared" si="5"/>
        <v>149.53698917039497</v>
      </c>
      <c r="L25" s="163">
        <f t="shared" si="5"/>
        <v>77.435387673956271</v>
      </c>
      <c r="M25" s="163">
        <f t="shared" si="5"/>
        <v>168.07170542635657</v>
      </c>
      <c r="N25" s="162">
        <f t="shared" si="1"/>
        <v>-1.4668990304246137E-2</v>
      </c>
      <c r="O25" s="162">
        <f t="shared" si="2"/>
        <v>-9.1520083150568907E-2</v>
      </c>
      <c r="P25" s="164">
        <f t="shared" si="3"/>
        <v>-0.2000499496557393</v>
      </c>
      <c r="Q25" s="165"/>
      <c r="R25" s="166">
        <v>1.51515E-2</v>
      </c>
      <c r="S25" s="168">
        <f t="shared" si="4"/>
        <v>-2.6633617712147228E-2</v>
      </c>
      <c r="T25" s="168">
        <f t="shared" si="4"/>
        <v>-1.2183567346023327E-2</v>
      </c>
      <c r="U25" s="168">
        <f t="shared" si="4"/>
        <v>6.3520495393698306E-2</v>
      </c>
      <c r="V25" s="168">
        <f t="shared" si="4"/>
        <v>0.17043051474073234</v>
      </c>
      <c r="W25" s="168">
        <f t="shared" si="4"/>
        <v>1.370296668651072E-2</v>
      </c>
      <c r="X25" s="168">
        <f t="shared" si="4"/>
        <v>0.29784425810875703</v>
      </c>
    </row>
    <row r="26" spans="1:25">
      <c r="A26" s="161">
        <v>1935</v>
      </c>
      <c r="B26" s="162">
        <v>0.46740421052631581</v>
      </c>
      <c r="C26" s="162">
        <v>1.6750000000000001E-3</v>
      </c>
      <c r="D26" s="162">
        <v>4.4720477296566127E-2</v>
      </c>
      <c r="E26" s="162">
        <v>0.1330773186567917</v>
      </c>
      <c r="F26" s="162">
        <v>9.7658337262297445E-2</v>
      </c>
      <c r="G26" s="162">
        <v>4.3240126837706949E-3</v>
      </c>
      <c r="H26" s="163">
        <f t="shared" si="5"/>
        <v>110.18032313054879</v>
      </c>
      <c r="I26" s="163">
        <f t="shared" si="5"/>
        <v>116.58251357000627</v>
      </c>
      <c r="J26" s="163">
        <f t="shared" si="5"/>
        <v>133.77537939837757</v>
      </c>
      <c r="K26" s="163">
        <f t="shared" si="5"/>
        <v>169.43697072920085</v>
      </c>
      <c r="L26" s="163">
        <f t="shared" si="5"/>
        <v>84.997598879456248</v>
      </c>
      <c r="M26" s="163">
        <f t="shared" si="5"/>
        <v>168.79844961240312</v>
      </c>
      <c r="N26" s="162">
        <f t="shared" si="1"/>
        <v>0.46572921052631583</v>
      </c>
      <c r="O26" s="162">
        <f t="shared" si="2"/>
        <v>0.42268373322974967</v>
      </c>
      <c r="P26" s="164">
        <f t="shared" si="3"/>
        <v>0.33432689186952413</v>
      </c>
      <c r="Q26" s="165"/>
      <c r="R26" s="166">
        <v>2.9850699999999997E-2</v>
      </c>
      <c r="S26" s="168">
        <f t="shared" si="4"/>
        <v>0.42487081916467706</v>
      </c>
      <c r="T26" s="168">
        <f t="shared" si="4"/>
        <v>-2.7359014272651194E-2</v>
      </c>
      <c r="U26" s="168">
        <f t="shared" si="4"/>
        <v>1.4438769907682891E-2</v>
      </c>
      <c r="V26" s="168">
        <f t="shared" si="4"/>
        <v>0.10023454725698766</v>
      </c>
      <c r="W26" s="168">
        <f t="shared" si="4"/>
        <v>6.5842201459199501E-2</v>
      </c>
      <c r="X26" s="168">
        <f t="shared" si="4"/>
        <v>-2.4786784449657762E-2</v>
      </c>
    </row>
    <row r="27" spans="1:25">
      <c r="A27" s="161">
        <v>1936</v>
      </c>
      <c r="B27" s="162">
        <v>0.31943410275502609</v>
      </c>
      <c r="C27" s="162">
        <v>1.725E-3</v>
      </c>
      <c r="D27" s="162">
        <v>5.0178754045450601E-2</v>
      </c>
      <c r="E27" s="162">
        <v>0.11383815871922703</v>
      </c>
      <c r="F27" s="162">
        <v>3.2186014546704111E-2</v>
      </c>
      <c r="G27" s="162">
        <v>8.61079219288019E-4</v>
      </c>
      <c r="H27" s="163">
        <f t="shared" si="5"/>
        <v>145.37567579101449</v>
      </c>
      <c r="I27" s="163">
        <f t="shared" si="5"/>
        <v>116.78361840591452</v>
      </c>
      <c r="J27" s="163">
        <f t="shared" si="5"/>
        <v>140.4880612585456</v>
      </c>
      <c r="K27" s="163">
        <f t="shared" si="5"/>
        <v>188.72536349597664</v>
      </c>
      <c r="L27" s="163">
        <f t="shared" si="5"/>
        <v>87.733332833425351</v>
      </c>
      <c r="M27" s="163">
        <f t="shared" si="5"/>
        <v>168.94379844961239</v>
      </c>
      <c r="N27" s="162">
        <f t="shared" si="1"/>
        <v>0.31770910275502612</v>
      </c>
      <c r="O27" s="162">
        <f t="shared" si="2"/>
        <v>0.26925534870957551</v>
      </c>
      <c r="P27" s="164">
        <f t="shared" si="3"/>
        <v>0.20559594403579906</v>
      </c>
      <c r="Q27" s="165"/>
      <c r="R27" s="166">
        <v>1.4492799999999998E-2</v>
      </c>
      <c r="S27" s="168">
        <f t="shared" si="4"/>
        <v>0.30058498468892636</v>
      </c>
      <c r="T27" s="168">
        <f t="shared" si="4"/>
        <v>-1.2585402281810154E-2</v>
      </c>
      <c r="U27" s="168">
        <f t="shared" si="4"/>
        <v>3.5176153093891438E-2</v>
      </c>
      <c r="V27" s="168">
        <f t="shared" si="4"/>
        <v>9.7926134832329037E-2</v>
      </c>
      <c r="W27" s="168">
        <f t="shared" si="4"/>
        <v>1.7440453541616163E-2</v>
      </c>
      <c r="X27" s="168">
        <f t="shared" si="4"/>
        <v>-1.3436981298154071E-2</v>
      </c>
    </row>
    <row r="28" spans="1:25">
      <c r="A28" s="161">
        <v>1937</v>
      </c>
      <c r="B28" s="162">
        <v>-0.35336728754365537</v>
      </c>
      <c r="C28" s="162">
        <v>2.7583333333333331E-3</v>
      </c>
      <c r="D28" s="162">
        <v>1.379146059646038E-2</v>
      </c>
      <c r="E28" s="162">
        <v>-4.4161916839982614E-2</v>
      </c>
      <c r="F28" s="162">
        <v>2.5633912223270494E-2</v>
      </c>
      <c r="G28" s="162">
        <v>-2.2942357327214724E-3</v>
      </c>
      <c r="H28" s="163">
        <f t="shared" si="5"/>
        <v>94.004667561917856</v>
      </c>
      <c r="I28" s="163">
        <f t="shared" si="5"/>
        <v>117.10574655335085</v>
      </c>
      <c r="J28" s="163">
        <f t="shared" si="5"/>
        <v>142.42559681966594</v>
      </c>
      <c r="K28" s="163">
        <f t="shared" si="5"/>
        <v>180.39088968767183</v>
      </c>
      <c r="L28" s="163">
        <f t="shared" si="5"/>
        <v>89.982281386332346</v>
      </c>
      <c r="M28" s="163">
        <f t="shared" si="5"/>
        <v>168.55620155038758</v>
      </c>
      <c r="N28" s="162">
        <f t="shared" si="1"/>
        <v>-0.35612562087698868</v>
      </c>
      <c r="O28" s="162">
        <f t="shared" si="2"/>
        <v>-0.36715874814011573</v>
      </c>
      <c r="P28" s="164">
        <f t="shared" si="3"/>
        <v>-0.30920537070367277</v>
      </c>
      <c r="Q28" s="165"/>
      <c r="R28" s="166">
        <v>2.8571399999999997E-2</v>
      </c>
      <c r="S28" s="168">
        <f t="shared" si="4"/>
        <v>-0.37132928987103397</v>
      </c>
      <c r="T28" s="168">
        <f t="shared" si="4"/>
        <v>-2.5096037734149035E-2</v>
      </c>
      <c r="U28" s="168">
        <f t="shared" si="4"/>
        <v>-1.4369385930368517E-2</v>
      </c>
      <c r="V28" s="168">
        <f t="shared" si="4"/>
        <v>-7.0712948892009408E-2</v>
      </c>
      <c r="W28" s="168">
        <f t="shared" si="4"/>
        <v>-2.8558909733727988E-3</v>
      </c>
      <c r="X28" s="168">
        <f t="shared" si="4"/>
        <v>-3.0008257795930748E-2</v>
      </c>
    </row>
    <row r="29" spans="1:25">
      <c r="A29" s="161">
        <v>1938</v>
      </c>
      <c r="B29" s="162">
        <v>0.29282654028436017</v>
      </c>
      <c r="C29" s="162">
        <v>6.4999999999999997E-4</v>
      </c>
      <c r="D29" s="162">
        <v>4.2132485322046068E-2</v>
      </c>
      <c r="E29" s="162">
        <v>9.2358817136874202E-2</v>
      </c>
      <c r="F29" s="162">
        <v>-8.7368136326751999E-3</v>
      </c>
      <c r="G29" s="162">
        <v>1.7246335153779935E-3</v>
      </c>
      <c r="H29" s="163">
        <f t="shared" si="5"/>
        <v>121.53172913465568</v>
      </c>
      <c r="I29" s="163">
        <f t="shared" si="5"/>
        <v>117.18186528861054</v>
      </c>
      <c r="J29" s="163">
        <f t="shared" si="5"/>
        <v>148.42634118715418</v>
      </c>
      <c r="K29" s="163">
        <f t="shared" si="5"/>
        <v>197.05157888149355</v>
      </c>
      <c r="L29" s="163">
        <f t="shared" si="5"/>
        <v>89.196122963617029</v>
      </c>
      <c r="M29" s="163">
        <f t="shared" si="5"/>
        <v>168.84689922480618</v>
      </c>
      <c r="N29" s="162">
        <f t="shared" si="1"/>
        <v>0.29217654028436019</v>
      </c>
      <c r="O29" s="162">
        <f t="shared" si="2"/>
        <v>0.25069405496231412</v>
      </c>
      <c r="P29" s="164">
        <f t="shared" si="3"/>
        <v>0.20046772314748595</v>
      </c>
      <c r="Q29" s="165"/>
      <c r="R29" s="166">
        <v>-2.7777799999999998E-2</v>
      </c>
      <c r="S29" s="168">
        <f t="shared" si="4"/>
        <v>0.32976447182995838</v>
      </c>
      <c r="T29" s="168">
        <f t="shared" si="4"/>
        <v>2.9240023525486158E-2</v>
      </c>
      <c r="U29" s="168">
        <f t="shared" si="4"/>
        <v>7.1907723689138336E-2</v>
      </c>
      <c r="V29" s="168">
        <f t="shared" si="4"/>
        <v>0.12356909473664968</v>
      </c>
      <c r="W29" s="168">
        <f t="shared" si="4"/>
        <v>1.9585014996905903E-2</v>
      </c>
      <c r="X29" s="168">
        <f t="shared" si="4"/>
        <v>3.0345360880854155E-2</v>
      </c>
    </row>
    <row r="30" spans="1:25">
      <c r="A30" s="161">
        <v>1939</v>
      </c>
      <c r="B30" s="162">
        <v>-1.0975646879756443E-2</v>
      </c>
      <c r="C30" s="162">
        <v>4.5833333333333332E-4</v>
      </c>
      <c r="D30" s="162">
        <v>4.4122613942060671E-2</v>
      </c>
      <c r="E30" s="162">
        <v>7.9831377653461405E-2</v>
      </c>
      <c r="F30" s="162">
        <v>-1.3016072256937905E-2</v>
      </c>
      <c r="G30" s="162">
        <v>-1.2338593974175027E-2</v>
      </c>
      <c r="H30" s="163">
        <f t="shared" si="5"/>
        <v>120.19783979098749</v>
      </c>
      <c r="I30" s="163">
        <f t="shared" si="5"/>
        <v>117.23557364353447</v>
      </c>
      <c r="J30" s="163">
        <f t="shared" si="5"/>
        <v>154.97529933818757</v>
      </c>
      <c r="K30" s="163">
        <f t="shared" si="5"/>
        <v>212.7824778923929</v>
      </c>
      <c r="L30" s="163">
        <f t="shared" si="5"/>
        <v>88.035139782083874</v>
      </c>
      <c r="M30" s="163">
        <f t="shared" si="5"/>
        <v>166.76356589147284</v>
      </c>
      <c r="N30" s="162">
        <f t="shared" si="1"/>
        <v>-1.1433980213089777E-2</v>
      </c>
      <c r="O30" s="162">
        <f t="shared" si="2"/>
        <v>-5.509826082181711E-2</v>
      </c>
      <c r="P30" s="164">
        <f t="shared" si="3"/>
        <v>-9.0807024533217845E-2</v>
      </c>
      <c r="Q30" s="165"/>
      <c r="R30" s="166">
        <v>0</v>
      </c>
      <c r="S30" s="168">
        <f t="shared" si="4"/>
        <v>-1.0975646879756495E-2</v>
      </c>
      <c r="T30" s="168">
        <f t="shared" si="4"/>
        <v>4.5833333333322734E-4</v>
      </c>
      <c r="U30" s="168">
        <f t="shared" si="4"/>
        <v>4.412261394206074E-2</v>
      </c>
      <c r="V30" s="168">
        <f t="shared" si="4"/>
        <v>7.9831377653461377E-2</v>
      </c>
      <c r="W30" s="168">
        <f t="shared" si="4"/>
        <v>-1.3016072256937905E-2</v>
      </c>
      <c r="X30" s="168">
        <f t="shared" si="4"/>
        <v>-1.2338593974175027E-2</v>
      </c>
    </row>
    <row r="31" spans="1:25">
      <c r="A31" s="161">
        <v>1940</v>
      </c>
      <c r="B31" s="162">
        <v>-0.10672873194221515</v>
      </c>
      <c r="C31" s="162">
        <v>3.5833333333333333E-4</v>
      </c>
      <c r="D31" s="162">
        <v>5.4024815962845509E-2</v>
      </c>
      <c r="E31" s="162">
        <v>8.6481371775829569E-2</v>
      </c>
      <c r="F31" s="162">
        <v>3.306607685927565E-2</v>
      </c>
      <c r="G31" s="162">
        <v>-1.6560139453805967E-2</v>
      </c>
      <c r="H31" s="163">
        <f t="shared" si="5"/>
        <v>107.36927676790187</v>
      </c>
      <c r="I31" s="163">
        <f t="shared" si="5"/>
        <v>117.27758305742339</v>
      </c>
      <c r="J31" s="163">
        <f t="shared" si="5"/>
        <v>163.34781136372007</v>
      </c>
      <c r="K31" s="163">
        <f t="shared" si="5"/>
        <v>231.18419847038714</v>
      </c>
      <c r="L31" s="163">
        <f t="shared" si="5"/>
        <v>90.946116480435336</v>
      </c>
      <c r="M31" s="163">
        <f t="shared" si="5"/>
        <v>164.0019379844961</v>
      </c>
      <c r="N31" s="162">
        <f t="shared" si="1"/>
        <v>-0.10708706527554848</v>
      </c>
      <c r="O31" s="162">
        <f t="shared" si="2"/>
        <v>-0.16075354790506066</v>
      </c>
      <c r="P31" s="164">
        <f t="shared" si="3"/>
        <v>-0.1932101037180447</v>
      </c>
      <c r="Q31" s="165"/>
      <c r="R31" s="166">
        <v>7.1428999999999998E-3</v>
      </c>
      <c r="S31" s="168">
        <f t="shared" si="4"/>
        <v>-0.1130640269044394</v>
      </c>
      <c r="T31" s="168">
        <f t="shared" si="4"/>
        <v>-6.7364488859196214E-3</v>
      </c>
      <c r="U31" s="168">
        <f t="shared" si="4"/>
        <v>4.6549418124126607E-2</v>
      </c>
      <c r="V31" s="168">
        <f t="shared" si="4"/>
        <v>7.8775784226676748E-2</v>
      </c>
      <c r="W31" s="168">
        <f t="shared" si="4"/>
        <v>2.5739323445834295E-2</v>
      </c>
      <c r="X31" s="168">
        <f t="shared" si="4"/>
        <v>-2.3534931789526592E-2</v>
      </c>
    </row>
    <row r="32" spans="1:25">
      <c r="A32" s="161">
        <v>1941</v>
      </c>
      <c r="B32" s="162">
        <v>-0.12771455576559551</v>
      </c>
      <c r="C32" s="162">
        <v>1.2916666666666669E-3</v>
      </c>
      <c r="D32" s="162">
        <v>-2.0221975848580105E-2</v>
      </c>
      <c r="E32" s="162">
        <v>5.0071728572759232E-2</v>
      </c>
      <c r="F32" s="162">
        <v>-8.384627736444894E-2</v>
      </c>
      <c r="G32" s="162">
        <v>0</v>
      </c>
      <c r="H32" s="163">
        <f t="shared" si="5"/>
        <v>93.656657282615996</v>
      </c>
      <c r="I32" s="163">
        <f t="shared" si="5"/>
        <v>117.42906660220589</v>
      </c>
      <c r="J32" s="163">
        <f t="shared" si="5"/>
        <v>160.0445958674045</v>
      </c>
      <c r="K32" s="163">
        <f t="shared" si="5"/>
        <v>242.75999090650726</v>
      </c>
      <c r="L32" s="163">
        <f t="shared" si="5"/>
        <v>83.320623172797269</v>
      </c>
      <c r="M32" s="163">
        <f t="shared" si="5"/>
        <v>164.0019379844961</v>
      </c>
      <c r="N32" s="162">
        <f t="shared" si="1"/>
        <v>-0.12900622243226217</v>
      </c>
      <c r="O32" s="162">
        <f t="shared" si="2"/>
        <v>-0.10749257991701541</v>
      </c>
      <c r="P32" s="164">
        <f t="shared" si="3"/>
        <v>-0.17778628433835475</v>
      </c>
      <c r="Q32" s="165"/>
      <c r="R32" s="166">
        <v>9.9290800000000012E-2</v>
      </c>
      <c r="S32" s="168">
        <f t="shared" si="4"/>
        <v>-0.20650164248222169</v>
      </c>
      <c r="T32" s="168">
        <f t="shared" si="4"/>
        <v>-8.9147597099269116E-2</v>
      </c>
      <c r="U32" s="168">
        <f t="shared" si="4"/>
        <v>-0.10871807154993018</v>
      </c>
      <c r="V32" s="168">
        <f t="shared" si="4"/>
        <v>-4.4773477070162548E-2</v>
      </c>
      <c r="W32" s="168">
        <f t="shared" si="4"/>
        <v>-0.16659566091560929</v>
      </c>
      <c r="X32" s="168">
        <f t="shared" si="4"/>
        <v>-9.0322597078043354E-2</v>
      </c>
    </row>
    <row r="33" spans="1:24">
      <c r="A33" s="161">
        <v>1942</v>
      </c>
      <c r="B33" s="162">
        <v>0.19173762945914843</v>
      </c>
      <c r="C33" s="162">
        <v>3.4250000000000001E-3</v>
      </c>
      <c r="D33" s="162">
        <v>2.2948682374484164E-2</v>
      </c>
      <c r="E33" s="162">
        <v>5.1799010426587015E-2</v>
      </c>
      <c r="F33" s="162">
        <v>3.3330412175386348E-2</v>
      </c>
      <c r="G33" s="162">
        <v>0</v>
      </c>
      <c r="H33" s="163">
        <f t="shared" si="5"/>
        <v>111.61416273305268</v>
      </c>
      <c r="I33" s="163">
        <f t="shared" si="5"/>
        <v>117.83126115531844</v>
      </c>
      <c r="J33" s="163">
        <f t="shared" si="5"/>
        <v>163.71740846371824</v>
      </c>
      <c r="K33" s="163">
        <f t="shared" si="5"/>
        <v>255.33471820663161</v>
      </c>
      <c r="L33" s="163">
        <f t="shared" si="5"/>
        <v>86.097733885856655</v>
      </c>
      <c r="M33" s="163">
        <f t="shared" si="5"/>
        <v>164.0019379844961</v>
      </c>
      <c r="N33" s="162">
        <f t="shared" si="1"/>
        <v>0.18831262945914842</v>
      </c>
      <c r="O33" s="162">
        <f t="shared" si="2"/>
        <v>0.16878894708466427</v>
      </c>
      <c r="P33" s="164">
        <f t="shared" si="3"/>
        <v>0.13993861903256141</v>
      </c>
      <c r="Q33" s="165"/>
      <c r="R33" s="166">
        <v>9.0322600000000003E-2</v>
      </c>
      <c r="S33" s="168">
        <f t="shared" si="4"/>
        <v>9.3013782764063135E-2</v>
      </c>
      <c r="T33" s="168">
        <f t="shared" si="4"/>
        <v>-7.9698980833745825E-2</v>
      </c>
      <c r="U33" s="168">
        <f t="shared" si="4"/>
        <v>-6.1792645246017797E-2</v>
      </c>
      <c r="V33" s="168">
        <f t="shared" si="4"/>
        <v>-3.5332285667941665E-2</v>
      </c>
      <c r="W33" s="168">
        <f t="shared" si="4"/>
        <v>-5.2270940568060809E-2</v>
      </c>
      <c r="X33" s="168">
        <f t="shared" si="4"/>
        <v>-8.2840252967332773E-2</v>
      </c>
    </row>
    <row r="34" spans="1:24">
      <c r="A34" s="161">
        <v>1943</v>
      </c>
      <c r="B34" s="162">
        <v>0.25061310133060394</v>
      </c>
      <c r="C34" s="162">
        <v>3.8E-3</v>
      </c>
      <c r="D34" s="162">
        <v>2.4899999999999999E-2</v>
      </c>
      <c r="E34" s="162">
        <v>8.044670060105924E-2</v>
      </c>
      <c r="F34" s="162">
        <v>0.11446259964945993</v>
      </c>
      <c r="G34" s="162">
        <v>0</v>
      </c>
      <c r="H34" s="163">
        <f t="shared" si="5"/>
        <v>139.58613420800171</v>
      </c>
      <c r="I34" s="163">
        <f t="shared" si="5"/>
        <v>118.27901994770866</v>
      </c>
      <c r="J34" s="163">
        <f t="shared" si="5"/>
        <v>167.79397193446482</v>
      </c>
      <c r="K34" s="163">
        <f t="shared" si="5"/>
        <v>275.87555383525631</v>
      </c>
      <c r="L34" s="163">
        <f t="shared" si="5"/>
        <v>95.952704330359211</v>
      </c>
      <c r="M34" s="163">
        <f t="shared" si="5"/>
        <v>164.0019379844961</v>
      </c>
      <c r="N34" s="162">
        <f t="shared" si="1"/>
        <v>0.24681310133060394</v>
      </c>
      <c r="O34" s="162">
        <f t="shared" si="2"/>
        <v>0.22571310133060393</v>
      </c>
      <c r="P34" s="164">
        <f t="shared" si="3"/>
        <v>0.1701664007295447</v>
      </c>
      <c r="Q34" s="165"/>
      <c r="R34" s="166">
        <v>2.9585799999999999E-2</v>
      </c>
      <c r="S34" s="168">
        <f t="shared" si="4"/>
        <v>0.21467594185021199</v>
      </c>
      <c r="T34" s="168">
        <f t="shared" si="4"/>
        <v>-2.504482870684499E-2</v>
      </c>
      <c r="U34" s="168">
        <f t="shared" si="4"/>
        <v>-4.5511505694815213E-3</v>
      </c>
      <c r="V34" s="168">
        <f t="shared" si="4"/>
        <v>4.9399380412064042E-2</v>
      </c>
      <c r="W34" s="168">
        <f t="shared" si="4"/>
        <v>8.2437811059029587E-2</v>
      </c>
      <c r="X34" s="168">
        <f t="shared" si="4"/>
        <v>-2.873563330030382E-2</v>
      </c>
    </row>
    <row r="35" spans="1:24">
      <c r="A35" s="161">
        <v>1944</v>
      </c>
      <c r="B35" s="162">
        <v>0.19030676949443009</v>
      </c>
      <c r="C35" s="162">
        <v>3.8E-3</v>
      </c>
      <c r="D35" s="162">
        <v>2.5776111579070303E-2</v>
      </c>
      <c r="E35" s="162">
        <v>6.5658635882561697E-2</v>
      </c>
      <c r="F35" s="162">
        <v>0.16584227481419478</v>
      </c>
      <c r="G35" s="162">
        <v>0</v>
      </c>
      <c r="H35" s="163">
        <f t="shared" si="5"/>
        <v>166.15032047534245</v>
      </c>
      <c r="I35" s="163">
        <f t="shared" si="5"/>
        <v>118.72848022350996</v>
      </c>
      <c r="J35" s="163">
        <f t="shared" si="5"/>
        <v>172.11904807734297</v>
      </c>
      <c r="K35" s="163">
        <f t="shared" si="5"/>
        <v>293.98916637342546</v>
      </c>
      <c r="L35" s="163">
        <f t="shared" si="5"/>
        <v>111.86571909107982</v>
      </c>
      <c r="M35" s="163">
        <f t="shared" si="5"/>
        <v>164.0019379844961</v>
      </c>
      <c r="N35" s="162">
        <f t="shared" si="1"/>
        <v>0.1865067694944301</v>
      </c>
      <c r="O35" s="162">
        <f t="shared" si="2"/>
        <v>0.16453065791535978</v>
      </c>
      <c r="P35" s="164">
        <f t="shared" si="3"/>
        <v>0.1246481336118684</v>
      </c>
      <c r="Q35" s="165"/>
      <c r="R35" s="166">
        <v>2.2988499999999999E-2</v>
      </c>
      <c r="S35" s="168">
        <f t="shared" si="4"/>
        <v>0.16355830930106241</v>
      </c>
      <c r="T35" s="168">
        <f t="shared" si="4"/>
        <v>-1.8757297858187139E-2</v>
      </c>
      <c r="U35" s="168">
        <f t="shared" si="4"/>
        <v>2.7249686375458992E-3</v>
      </c>
      <c r="V35" s="168">
        <f t="shared" si="4"/>
        <v>4.171125665885933E-2</v>
      </c>
      <c r="W35" s="168">
        <f t="shared" si="4"/>
        <v>0.13964357841187325</v>
      </c>
      <c r="X35" s="168">
        <f t="shared" si="4"/>
        <v>-2.2471904620628758E-2</v>
      </c>
    </row>
    <row r="36" spans="1:24">
      <c r="A36" s="161">
        <v>1945</v>
      </c>
      <c r="B36" s="162">
        <v>0.35821084337349401</v>
      </c>
      <c r="C36" s="162">
        <v>3.8E-3</v>
      </c>
      <c r="D36" s="162">
        <v>3.8044173419237229E-2</v>
      </c>
      <c r="E36" s="162">
        <v>6.799865477817886E-2</v>
      </c>
      <c r="F36" s="162">
        <v>0.11777376471356127</v>
      </c>
      <c r="G36" s="162">
        <v>2.5406203840472763E-2</v>
      </c>
      <c r="H36" s="163">
        <f t="shared" ref="H36:M51" si="6">H35*(1+B36)</f>
        <v>225.66716689959119</v>
      </c>
      <c r="I36" s="163">
        <f t="shared" si="6"/>
        <v>119.1796484483593</v>
      </c>
      <c r="J36" s="163">
        <f t="shared" si="6"/>
        <v>178.66717499115143</v>
      </c>
      <c r="K36" s="163">
        <f t="shared" si="6"/>
        <v>313.98003420617658</v>
      </c>
      <c r="L36" s="163">
        <f t="shared" si="6"/>
        <v>125.04056597082599</v>
      </c>
      <c r="M36" s="163">
        <f t="shared" si="6"/>
        <v>168.16860465116278</v>
      </c>
      <c r="N36" s="162">
        <f t="shared" si="1"/>
        <v>0.35441084337349399</v>
      </c>
      <c r="O36" s="162">
        <f t="shared" si="2"/>
        <v>0.3201666699542568</v>
      </c>
      <c r="P36" s="164">
        <f t="shared" si="3"/>
        <v>0.29021218859531517</v>
      </c>
      <c r="Q36" s="165"/>
      <c r="R36" s="166">
        <v>2.24719E-2</v>
      </c>
      <c r="S36" s="168">
        <f t="shared" si="4"/>
        <v>0.32836006874467061</v>
      </c>
      <c r="T36" s="168">
        <f t="shared" si="4"/>
        <v>-1.8261528752037015E-2</v>
      </c>
      <c r="U36" s="168">
        <f t="shared" si="4"/>
        <v>1.5230025802408065E-2</v>
      </c>
      <c r="V36" s="168">
        <f t="shared" si="4"/>
        <v>4.4526167201444755E-2</v>
      </c>
      <c r="W36" s="168">
        <f t="shared" si="4"/>
        <v>9.320731915817082E-2</v>
      </c>
      <c r="X36" s="168">
        <f t="shared" si="4"/>
        <v>2.8698136745595182E-3</v>
      </c>
    </row>
    <row r="37" spans="1:24">
      <c r="A37" s="161">
        <v>1946</v>
      </c>
      <c r="B37" s="162">
        <v>-8.4291474654377807E-2</v>
      </c>
      <c r="C37" s="162">
        <v>3.8E-3</v>
      </c>
      <c r="D37" s="162">
        <v>3.1283745375695685E-2</v>
      </c>
      <c r="E37" s="162">
        <v>2.5080329773195936E-2</v>
      </c>
      <c r="F37" s="162">
        <v>0.24101685677580131</v>
      </c>
      <c r="G37" s="162">
        <v>0</v>
      </c>
      <c r="H37" s="163">
        <f t="shared" si="6"/>
        <v>206.64534862054904</v>
      </c>
      <c r="I37" s="163">
        <f t="shared" si="6"/>
        <v>119.63253111246307</v>
      </c>
      <c r="J37" s="163">
        <f t="shared" si="6"/>
        <v>184.25655340056949</v>
      </c>
      <c r="K37" s="163">
        <f t="shared" si="6"/>
        <v>321.85475700626682</v>
      </c>
      <c r="L37" s="163">
        <f t="shared" si="6"/>
        <v>155.17745015058171</v>
      </c>
      <c r="M37" s="163">
        <f t="shared" si="6"/>
        <v>168.16860465116278</v>
      </c>
      <c r="N37" s="162">
        <f t="shared" si="1"/>
        <v>-8.8091474654377805E-2</v>
      </c>
      <c r="O37" s="162">
        <f t="shared" si="2"/>
        <v>-0.11557522003007349</v>
      </c>
      <c r="P37" s="164">
        <f t="shared" si="3"/>
        <v>-0.10937180442757374</v>
      </c>
      <c r="Q37" s="165"/>
      <c r="R37" s="166">
        <v>0.1813187</v>
      </c>
      <c r="S37" s="168">
        <f t="shared" si="4"/>
        <v>-0.22484209777969133</v>
      </c>
      <c r="T37" s="168">
        <f t="shared" si="4"/>
        <v>-0.15027164134454152</v>
      </c>
      <c r="U37" s="168">
        <f t="shared" si="4"/>
        <v>-0.12700633167349695</v>
      </c>
      <c r="V37" s="168">
        <f t="shared" si="4"/>
        <v>-0.13225759503070944</v>
      </c>
      <c r="W37" s="168">
        <f t="shared" si="4"/>
        <v>5.0535183076168444E-2</v>
      </c>
      <c r="X37" s="168">
        <f t="shared" si="4"/>
        <v>-0.15348838547971855</v>
      </c>
    </row>
    <row r="38" spans="1:24">
      <c r="A38" s="161">
        <v>1947</v>
      </c>
      <c r="B38" s="162">
        <v>5.1999999999999998E-2</v>
      </c>
      <c r="C38" s="162">
        <v>6.0083333333333334E-3</v>
      </c>
      <c r="D38" s="162">
        <v>9.1969680628322358E-3</v>
      </c>
      <c r="E38" s="162">
        <v>2.6212022665691934E-3</v>
      </c>
      <c r="F38" s="162">
        <v>0.2126388104648973</v>
      </c>
      <c r="G38" s="162">
        <v>0</v>
      </c>
      <c r="H38" s="163">
        <f t="shared" si="6"/>
        <v>217.3909067488176</v>
      </c>
      <c r="I38" s="163">
        <f t="shared" si="6"/>
        <v>120.35132323689713</v>
      </c>
      <c r="J38" s="163">
        <f t="shared" si="6"/>
        <v>185.95115503756207</v>
      </c>
      <c r="K38" s="163">
        <f t="shared" si="6"/>
        <v>322.69840342483775</v>
      </c>
      <c r="L38" s="163">
        <f t="shared" si="6"/>
        <v>188.1741985615773</v>
      </c>
      <c r="M38" s="163">
        <f t="shared" si="6"/>
        <v>168.16860465116278</v>
      </c>
      <c r="N38" s="162">
        <f t="shared" si="1"/>
        <v>4.5991666666666667E-2</v>
      </c>
      <c r="O38" s="162">
        <f t="shared" si="2"/>
        <v>4.2803031937167765E-2</v>
      </c>
      <c r="P38" s="164">
        <f t="shared" si="3"/>
        <v>4.9378797733430804E-2</v>
      </c>
      <c r="Q38" s="165"/>
      <c r="R38" s="166">
        <v>8.8372100000000009E-2</v>
      </c>
      <c r="S38" s="168">
        <f t="shared" si="4"/>
        <v>-3.3418809614836564E-2</v>
      </c>
      <c r="T38" s="168">
        <f t="shared" si="4"/>
        <v>-7.5676109913757061E-2</v>
      </c>
      <c r="U38" s="168">
        <f t="shared" si="4"/>
        <v>-7.2746381441758379E-2</v>
      </c>
      <c r="V38" s="168">
        <f t="shared" si="4"/>
        <v>-7.8788217497885782E-2</v>
      </c>
      <c r="W38" s="168">
        <f t="shared" si="4"/>
        <v>0.11417667768670059</v>
      </c>
      <c r="X38" s="168">
        <f t="shared" si="4"/>
        <v>-8.1196587086346583E-2</v>
      </c>
    </row>
    <row r="39" spans="1:24">
      <c r="A39" s="161">
        <v>1948</v>
      </c>
      <c r="B39" s="162">
        <v>5.7045751633986834E-2</v>
      </c>
      <c r="C39" s="162">
        <v>1.0449999999999999E-2</v>
      </c>
      <c r="D39" s="162">
        <v>1.9510369413175046E-2</v>
      </c>
      <c r="E39" s="162">
        <v>3.4369595605103213E-2</v>
      </c>
      <c r="F39" s="162">
        <v>2.0585153855108507E-2</v>
      </c>
      <c r="G39" s="162">
        <v>0</v>
      </c>
      <c r="H39" s="163">
        <f t="shared" si="6"/>
        <v>229.79213442269784</v>
      </c>
      <c r="I39" s="163">
        <f t="shared" si="6"/>
        <v>121.60899456472271</v>
      </c>
      <c r="J39" s="163">
        <f t="shared" si="6"/>
        <v>189.57913076515149</v>
      </c>
      <c r="K39" s="163">
        <f t="shared" si="6"/>
        <v>333.78941705296182</v>
      </c>
      <c r="L39" s="163">
        <f t="shared" si="6"/>
        <v>192.04779339052911</v>
      </c>
      <c r="M39" s="163">
        <f t="shared" si="6"/>
        <v>168.16860465116278</v>
      </c>
      <c r="N39" s="162">
        <f t="shared" si="1"/>
        <v>4.6595751633986833E-2</v>
      </c>
      <c r="O39" s="162">
        <f t="shared" si="2"/>
        <v>3.7535382220811792E-2</v>
      </c>
      <c r="P39" s="164">
        <f t="shared" si="3"/>
        <v>2.2676156028883621E-2</v>
      </c>
      <c r="Q39" s="165"/>
      <c r="R39" s="166">
        <v>2.99145E-2</v>
      </c>
      <c r="S39" s="168">
        <f t="shared" si="4"/>
        <v>2.6343207745872954E-2</v>
      </c>
      <c r="T39" s="168">
        <f t="shared" si="4"/>
        <v>-1.889914162777584E-2</v>
      </c>
      <c r="U39" s="168">
        <f t="shared" si="4"/>
        <v>-1.0101936215894614E-2</v>
      </c>
      <c r="V39" s="168">
        <f t="shared" si="4"/>
        <v>4.3256946135850072E-3</v>
      </c>
      <c r="W39" s="168">
        <f t="shared" si="4"/>
        <v>-9.0583695490175087E-3</v>
      </c>
      <c r="X39" s="168">
        <f t="shared" si="4"/>
        <v>-2.9045614951532461E-2</v>
      </c>
    </row>
    <row r="40" spans="1:24">
      <c r="A40" s="161">
        <v>1949</v>
      </c>
      <c r="B40" s="162">
        <v>0.18303223684210526</v>
      </c>
      <c r="C40" s="162">
        <v>1.115E-2</v>
      </c>
      <c r="D40" s="162">
        <v>4.6634851827973139E-2</v>
      </c>
      <c r="E40" s="162">
        <v>5.3773011179658936E-2</v>
      </c>
      <c r="F40" s="162">
        <v>8.9348516244314169E-4</v>
      </c>
      <c r="G40" s="162">
        <v>-8.7006626332469028E-2</v>
      </c>
      <c r="H40" s="163">
        <f t="shared" si="6"/>
        <v>271.85150279480598</v>
      </c>
      <c r="I40" s="163">
        <f t="shared" si="6"/>
        <v>122.96493485411936</v>
      </c>
      <c r="J40" s="163">
        <f t="shared" si="6"/>
        <v>198.42012543806027</v>
      </c>
      <c r="K40" s="163">
        <f t="shared" si="6"/>
        <v>351.73827910780261</v>
      </c>
      <c r="L40" s="163">
        <f t="shared" si="6"/>
        <v>192.2193852444035</v>
      </c>
      <c r="M40" s="163">
        <f t="shared" si="6"/>
        <v>153.53682170542635</v>
      </c>
      <c r="N40" s="162">
        <f t="shared" si="1"/>
        <v>0.17188223684210527</v>
      </c>
      <c r="O40" s="162">
        <f t="shared" si="2"/>
        <v>0.13639738501413212</v>
      </c>
      <c r="P40" s="164">
        <f t="shared" si="3"/>
        <v>0.12925922566244633</v>
      </c>
      <c r="Q40" s="165"/>
      <c r="R40" s="166">
        <v>-2.0746899999999999E-2</v>
      </c>
      <c r="S40" s="168">
        <f t="shared" si="4"/>
        <v>0.20809649399333563</v>
      </c>
      <c r="T40" s="168">
        <f t="shared" si="4"/>
        <v>3.2572682179918599E-2</v>
      </c>
      <c r="U40" s="168">
        <f t="shared" si="4"/>
        <v>6.8809332161392289E-2</v>
      </c>
      <c r="V40" s="168">
        <f t="shared" si="4"/>
        <v>7.6098723792305645E-2</v>
      </c>
      <c r="W40" s="168">
        <f t="shared" si="4"/>
        <v>2.209886817048945E-2</v>
      </c>
      <c r="X40" s="168">
        <f t="shared" si="4"/>
        <v>-6.7663534925208824E-2</v>
      </c>
    </row>
    <row r="41" spans="1:24">
      <c r="A41" s="161">
        <v>1950</v>
      </c>
      <c r="B41" s="162">
        <v>0.30805539011316263</v>
      </c>
      <c r="C41" s="162">
        <v>1.2033333333333333E-2</v>
      </c>
      <c r="D41" s="162">
        <v>4.2959574171096103E-3</v>
      </c>
      <c r="E41" s="162">
        <v>4.2388173056720914E-2</v>
      </c>
      <c r="F41" s="162">
        <v>3.6403925292814332E-2</v>
      </c>
      <c r="G41" s="162">
        <v>9.5613758283370043E-2</v>
      </c>
      <c r="H41" s="163">
        <f t="shared" si="6"/>
        <v>355.59682354110947</v>
      </c>
      <c r="I41" s="163">
        <f t="shared" si="6"/>
        <v>124.4446129035306</v>
      </c>
      <c r="J41" s="163">
        <f t="shared" si="6"/>
        <v>199.2725298476397</v>
      </c>
      <c r="K41" s="163">
        <f t="shared" si="6"/>
        <v>366.64782215329734</v>
      </c>
      <c r="L41" s="163">
        <f t="shared" si="6"/>
        <v>199.21692538467147</v>
      </c>
      <c r="M41" s="163">
        <f t="shared" si="6"/>
        <v>168.21705426356587</v>
      </c>
      <c r="N41" s="162">
        <f t="shared" si="1"/>
        <v>0.29602205677982929</v>
      </c>
      <c r="O41" s="162">
        <f t="shared" si="2"/>
        <v>0.30375943269605304</v>
      </c>
      <c r="P41" s="164">
        <f t="shared" si="3"/>
        <v>0.2656672170564417</v>
      </c>
      <c r="Q41" s="165"/>
      <c r="R41" s="166">
        <v>5.9322E-2</v>
      </c>
      <c r="S41" s="168">
        <f t="shared" si="4"/>
        <v>0.23480432778056382</v>
      </c>
      <c r="T41" s="168">
        <f t="shared" si="4"/>
        <v>-4.4640502761829515E-2</v>
      </c>
      <c r="U41" s="168">
        <f t="shared" si="4"/>
        <v>-5.1944585860475456E-2</v>
      </c>
      <c r="V41" s="168">
        <f t="shared" si="4"/>
        <v>-1.5985533145992714E-2</v>
      </c>
      <c r="W41" s="168">
        <f t="shared" si="4"/>
        <v>-2.163466321589258E-2</v>
      </c>
      <c r="X41" s="168">
        <f t="shared" si="4"/>
        <v>3.4259420915802696E-2</v>
      </c>
    </row>
    <row r="42" spans="1:24">
      <c r="A42" s="161">
        <v>1951</v>
      </c>
      <c r="B42" s="162">
        <v>0.23678463044542339</v>
      </c>
      <c r="C42" s="162">
        <v>1.5175000000000001E-2</v>
      </c>
      <c r="D42" s="162">
        <v>-2.9531392208319886E-3</v>
      </c>
      <c r="E42" s="162">
        <v>-1.9098091301369691E-3</v>
      </c>
      <c r="F42" s="162">
        <v>6.0476481368356705E-2</v>
      </c>
      <c r="G42" s="162">
        <v>0</v>
      </c>
      <c r="H42" s="163">
        <f t="shared" si="6"/>
        <v>439.7966859908575</v>
      </c>
      <c r="I42" s="163">
        <f t="shared" si="6"/>
        <v>126.33305990434167</v>
      </c>
      <c r="J42" s="163">
        <f t="shared" si="6"/>
        <v>198.68405032411223</v>
      </c>
      <c r="K42" s="163">
        <f t="shared" si="6"/>
        <v>365.94759479500414</v>
      </c>
      <c r="L42" s="163">
        <f t="shared" si="6"/>
        <v>211.26486406095887</v>
      </c>
      <c r="M42" s="163">
        <f t="shared" si="6"/>
        <v>168.21705426356587</v>
      </c>
      <c r="N42" s="162">
        <f t="shared" si="1"/>
        <v>0.22160963044542339</v>
      </c>
      <c r="O42" s="162">
        <f t="shared" si="2"/>
        <v>0.23973776966625537</v>
      </c>
      <c r="P42" s="164">
        <f t="shared" si="3"/>
        <v>0.23869443957556036</v>
      </c>
      <c r="Q42" s="165"/>
      <c r="R42" s="166">
        <v>0.06</v>
      </c>
      <c r="S42" s="168">
        <f t="shared" si="4"/>
        <v>0.16677795325039924</v>
      </c>
      <c r="T42" s="168">
        <f t="shared" si="4"/>
        <v>-4.2287735849056762E-2</v>
      </c>
      <c r="U42" s="168">
        <f t="shared" si="4"/>
        <v>-5.9389753981917037E-2</v>
      </c>
      <c r="V42" s="168">
        <f t="shared" si="4"/>
        <v>-5.8405480311449987E-2</v>
      </c>
      <c r="W42" s="168">
        <f t="shared" si="4"/>
        <v>4.4951072486476562E-4</v>
      </c>
      <c r="X42" s="168">
        <f t="shared" si="4"/>
        <v>-5.6603773584905759E-2</v>
      </c>
    </row>
    <row r="43" spans="1:24">
      <c r="A43" s="161">
        <v>1952</v>
      </c>
      <c r="B43" s="162">
        <v>0.18150988641144306</v>
      </c>
      <c r="C43" s="162">
        <v>1.7225000000000001E-2</v>
      </c>
      <c r="D43" s="162">
        <v>2.2679961918305656E-2</v>
      </c>
      <c r="E43" s="162">
        <v>4.4412415047400768E-2</v>
      </c>
      <c r="F43" s="162">
        <v>4.4066820276497776E-2</v>
      </c>
      <c r="G43" s="162">
        <v>-3.4562211981565838E-3</v>
      </c>
      <c r="H43" s="163">
        <f t="shared" si="6"/>
        <v>519.62413250918712</v>
      </c>
      <c r="I43" s="163">
        <f t="shared" si="6"/>
        <v>128.50914686119395</v>
      </c>
      <c r="J43" s="163">
        <f t="shared" si="6"/>
        <v>203.19019701923781</v>
      </c>
      <c r="K43" s="163">
        <f t="shared" si="6"/>
        <v>382.2002112606379</v>
      </c>
      <c r="L43" s="163">
        <f t="shared" si="6"/>
        <v>220.57463485627187</v>
      </c>
      <c r="M43" s="163">
        <f t="shared" si="6"/>
        <v>167.63565891472868</v>
      </c>
      <c r="N43" s="162">
        <f t="shared" si="1"/>
        <v>0.16428488641144307</v>
      </c>
      <c r="O43" s="162">
        <f t="shared" si="2"/>
        <v>0.1588299244931374</v>
      </c>
      <c r="P43" s="164">
        <f t="shared" si="3"/>
        <v>0.13709747136404229</v>
      </c>
      <c r="Q43" s="165"/>
      <c r="R43" s="166">
        <v>7.5471999999999996E-3</v>
      </c>
      <c r="S43" s="168">
        <f t="shared" si="4"/>
        <v>0.17265958995414099</v>
      </c>
      <c r="T43" s="168">
        <f t="shared" si="4"/>
        <v>9.6053068283052934E-3</v>
      </c>
      <c r="U43" s="168">
        <f t="shared" si="4"/>
        <v>1.5019407446425825E-2</v>
      </c>
      <c r="V43" s="168">
        <f t="shared" si="4"/>
        <v>3.6589070018159697E-2</v>
      </c>
      <c r="W43" s="168">
        <f t="shared" si="4"/>
        <v>3.6246063982409593E-2</v>
      </c>
      <c r="X43" s="168">
        <f t="shared" si="4"/>
        <v>-1.0920998240237956E-2</v>
      </c>
    </row>
    <row r="44" spans="1:24">
      <c r="A44" s="161">
        <v>1953</v>
      </c>
      <c r="B44" s="162">
        <v>-1.2082047421904465E-2</v>
      </c>
      <c r="C44" s="162">
        <v>1.8908333333333333E-2</v>
      </c>
      <c r="D44" s="162">
        <v>4.1438402589088513E-2</v>
      </c>
      <c r="E44" s="162">
        <v>1.6201123818443276E-2</v>
      </c>
      <c r="F44" s="162">
        <v>0.11516568544995809</v>
      </c>
      <c r="G44" s="162">
        <v>6.9364161849712058E-3</v>
      </c>
      <c r="H44" s="163">
        <f t="shared" si="6"/>
        <v>513.34600909864514</v>
      </c>
      <c r="I44" s="163">
        <f t="shared" si="6"/>
        <v>130.93904064642769</v>
      </c>
      <c r="J44" s="163">
        <f t="shared" si="6"/>
        <v>211.61007420547722</v>
      </c>
      <c r="K44" s="163">
        <f t="shared" si="6"/>
        <v>388.39228420670662</v>
      </c>
      <c r="L44" s="163">
        <f t="shared" si="6"/>
        <v>245.97726387236864</v>
      </c>
      <c r="M44" s="163">
        <f t="shared" si="6"/>
        <v>168.79844961240312</v>
      </c>
      <c r="N44" s="162">
        <f t="shared" si="1"/>
        <v>-3.0990380755237797E-2</v>
      </c>
      <c r="O44" s="162">
        <f t="shared" si="2"/>
        <v>-5.3520450010992981E-2</v>
      </c>
      <c r="P44" s="164">
        <f t="shared" si="3"/>
        <v>-2.8283171240347741E-2</v>
      </c>
      <c r="Q44" s="165"/>
      <c r="R44" s="166">
        <v>7.4905999999999992E-3</v>
      </c>
      <c r="S44" s="168">
        <f t="shared" si="4"/>
        <v>-1.942712658748813E-2</v>
      </c>
      <c r="T44" s="168">
        <f t="shared" si="4"/>
        <v>1.1332843535545978E-2</v>
      </c>
      <c r="U44" s="168">
        <f t="shared" si="4"/>
        <v>3.3695403797403767E-2</v>
      </c>
      <c r="V44" s="168">
        <f t="shared" si="4"/>
        <v>8.6457618745459097E-3</v>
      </c>
      <c r="W44" s="168">
        <f t="shared" si="4"/>
        <v>0.10687453108739486</v>
      </c>
      <c r="X44" s="168">
        <f t="shared" si="4"/>
        <v>-5.5006350930586478E-4</v>
      </c>
    </row>
    <row r="45" spans="1:24">
      <c r="A45" s="161">
        <v>1954</v>
      </c>
      <c r="B45" s="162">
        <v>0.52563321241434902</v>
      </c>
      <c r="C45" s="162">
        <v>9.3752000000000002E-3</v>
      </c>
      <c r="D45" s="162">
        <v>3.2898034558095555E-2</v>
      </c>
      <c r="E45" s="162">
        <v>6.1579051817707856E-2</v>
      </c>
      <c r="F45" s="162">
        <v>9.2272202998846531E-3</v>
      </c>
      <c r="G45" s="162">
        <v>5.7405281285876075E-3</v>
      </c>
      <c r="H45" s="163">
        <f t="shared" si="6"/>
        <v>783.17772094125166</v>
      </c>
      <c r="I45" s="163">
        <f t="shared" si="6"/>
        <v>132.16662034029608</v>
      </c>
      <c r="J45" s="163">
        <f t="shared" si="6"/>
        <v>218.57162973953018</v>
      </c>
      <c r="K45" s="163">
        <f t="shared" si="6"/>
        <v>412.30911280146938</v>
      </c>
      <c r="L45" s="163">
        <f t="shared" si="6"/>
        <v>248.24695027488184</v>
      </c>
      <c r="M45" s="163">
        <f t="shared" si="6"/>
        <v>169.76744186046508</v>
      </c>
      <c r="N45" s="162">
        <f t="shared" si="1"/>
        <v>0.51625801241434899</v>
      </c>
      <c r="O45" s="162">
        <f t="shared" si="2"/>
        <v>0.49273517785625348</v>
      </c>
      <c r="P45" s="164">
        <f t="shared" si="3"/>
        <v>0.46405416059664117</v>
      </c>
      <c r="Q45" s="165"/>
      <c r="R45" s="166">
        <v>-7.4348999999999995E-3</v>
      </c>
      <c r="S45" s="168">
        <f t="shared" si="4"/>
        <v>0.53706110804656437</v>
      </c>
      <c r="T45" s="168">
        <f t="shared" si="4"/>
        <v>1.6936017597233732E-2</v>
      </c>
      <c r="U45" s="168">
        <f t="shared" si="4"/>
        <v>4.063505210700602E-2</v>
      </c>
      <c r="V45" s="168">
        <f t="shared" si="4"/>
        <v>6.9530907159347066E-2</v>
      </c>
      <c r="W45" s="168">
        <f t="shared" si="4"/>
        <v>1.6786929441589882E-2</v>
      </c>
      <c r="X45" s="168">
        <f t="shared" si="4"/>
        <v>1.3274119882501934E-2</v>
      </c>
    </row>
    <row r="46" spans="1:24">
      <c r="A46" s="161">
        <v>1955</v>
      </c>
      <c r="B46" s="162">
        <v>0.32597331851028349</v>
      </c>
      <c r="C46" s="162">
        <v>1.7243426294820716E-2</v>
      </c>
      <c r="D46" s="162">
        <v>-1.3364391288618781E-2</v>
      </c>
      <c r="E46" s="162">
        <v>2.044690004344954E-2</v>
      </c>
      <c r="F46" s="162">
        <v>0</v>
      </c>
      <c r="G46" s="162">
        <v>-2.8538812785383616E-4</v>
      </c>
      <c r="H46" s="163">
        <f t="shared" si="6"/>
        <v>1038.4727616197922</v>
      </c>
      <c r="I46" s="163">
        <f t="shared" si="6"/>
        <v>134.44562571676951</v>
      </c>
      <c r="J46" s="163">
        <f t="shared" si="6"/>
        <v>215.65055295509998</v>
      </c>
      <c r="K46" s="163">
        <f t="shared" si="6"/>
        <v>420.73955601792437</v>
      </c>
      <c r="L46" s="163">
        <f t="shared" si="6"/>
        <v>248.24695027488184</v>
      </c>
      <c r="M46" s="163">
        <f t="shared" si="6"/>
        <v>169.71899224806199</v>
      </c>
      <c r="N46" s="162">
        <f t="shared" si="1"/>
        <v>0.30872989221546276</v>
      </c>
      <c r="O46" s="162">
        <f t="shared" si="2"/>
        <v>0.33933770979890227</v>
      </c>
      <c r="P46" s="164">
        <f t="shared" si="3"/>
        <v>0.30552641846683393</v>
      </c>
      <c r="Q46" s="165"/>
      <c r="R46" s="166">
        <v>3.7452999999999996E-3</v>
      </c>
      <c r="S46" s="168">
        <f t="shared" si="4"/>
        <v>0.32102568102713258</v>
      </c>
      <c r="T46" s="168">
        <f t="shared" si="4"/>
        <v>1.344776039780271E-2</v>
      </c>
      <c r="U46" s="168">
        <f t="shared" si="4"/>
        <v>-1.7045849468604102E-2</v>
      </c>
      <c r="V46" s="168">
        <f t="shared" si="4"/>
        <v>1.6639280944527934E-2</v>
      </c>
      <c r="W46" s="168">
        <f t="shared" si="4"/>
        <v>-3.7313250682220467E-3</v>
      </c>
      <c r="X46" s="168">
        <f t="shared" si="4"/>
        <v>-4.0156483202002935E-3</v>
      </c>
    </row>
    <row r="47" spans="1:24">
      <c r="A47" s="161">
        <v>1956</v>
      </c>
      <c r="B47" s="162">
        <v>7.4395118733509347E-2</v>
      </c>
      <c r="C47" s="162">
        <v>2.6213888888888887E-2</v>
      </c>
      <c r="D47" s="162">
        <v>-2.2557738173154165E-2</v>
      </c>
      <c r="E47" s="162">
        <v>-2.3526541979620903E-2</v>
      </c>
      <c r="F47" s="162">
        <v>9.1428571428571193E-3</v>
      </c>
      <c r="G47" s="162">
        <v>-1.1418783899515006E-3</v>
      </c>
      <c r="H47" s="163">
        <f t="shared" si="6"/>
        <v>1115.7300660220119</v>
      </c>
      <c r="I47" s="163">
        <f t="shared" si="6"/>
        <v>137.96996841090606</v>
      </c>
      <c r="J47" s="163">
        <f t="shared" si="6"/>
        <v>210.78596424464291</v>
      </c>
      <c r="K47" s="163">
        <f t="shared" si="6"/>
        <v>410.84100919078162</v>
      </c>
      <c r="L47" s="163">
        <f t="shared" si="6"/>
        <v>250.51663667739504</v>
      </c>
      <c r="M47" s="163">
        <f t="shared" si="6"/>
        <v>169.52519379844958</v>
      </c>
      <c r="N47" s="162">
        <f t="shared" si="1"/>
        <v>4.8181229844620463E-2</v>
      </c>
      <c r="O47" s="162">
        <f t="shared" si="2"/>
        <v>9.6952856906663512E-2</v>
      </c>
      <c r="P47" s="164">
        <f t="shared" si="3"/>
        <v>9.7921660713130243E-2</v>
      </c>
      <c r="Q47" s="165"/>
      <c r="R47" s="166">
        <v>2.9850699999999997E-2</v>
      </c>
      <c r="S47" s="168">
        <f t="shared" si="4"/>
        <v>4.3253278104786741E-2</v>
      </c>
      <c r="T47" s="168">
        <f t="shared" si="4"/>
        <v>-3.5313964549530397E-3</v>
      </c>
      <c r="U47" s="168">
        <f t="shared" si="4"/>
        <v>-5.0889355295048233E-2</v>
      </c>
      <c r="V47" s="168">
        <f t="shared" si="4"/>
        <v>-5.1830077874026603E-2</v>
      </c>
      <c r="W47" s="168">
        <f t="shared" si="4"/>
        <v>-2.0107616431335851E-2</v>
      </c>
      <c r="X47" s="168">
        <f t="shared" si="4"/>
        <v>-3.0094244136505854E-2</v>
      </c>
    </row>
    <row r="48" spans="1:24">
      <c r="A48" s="161">
        <v>1957</v>
      </c>
      <c r="B48" s="162">
        <v>-0.1045736018855796</v>
      </c>
      <c r="C48" s="162">
        <v>3.2245669291338583E-2</v>
      </c>
      <c r="D48" s="162">
        <v>6.7970128466249904E-2</v>
      </c>
      <c r="E48" s="162">
        <v>-7.1892844025423647E-3</v>
      </c>
      <c r="F48" s="162">
        <v>2.7180067950169917E-2</v>
      </c>
      <c r="G48" s="162">
        <v>-1.1431837667904565E-3</v>
      </c>
      <c r="H48" s="163">
        <f t="shared" si="6"/>
        <v>999.05415428605454</v>
      </c>
      <c r="I48" s="163">
        <f t="shared" si="6"/>
        <v>142.41890238442059</v>
      </c>
      <c r="J48" s="163">
        <f t="shared" si="6"/>
        <v>225.11311331323367</v>
      </c>
      <c r="K48" s="163">
        <f t="shared" si="6"/>
        <v>407.88735633148156</v>
      </c>
      <c r="L48" s="163">
        <f t="shared" si="6"/>
        <v>257.32569588493465</v>
      </c>
      <c r="M48" s="163">
        <f t="shared" si="6"/>
        <v>169.33139534883719</v>
      </c>
      <c r="N48" s="162">
        <f t="shared" si="1"/>
        <v>-0.13681927117691817</v>
      </c>
      <c r="O48" s="162">
        <f t="shared" si="2"/>
        <v>-0.17254373035182952</v>
      </c>
      <c r="P48" s="164">
        <f t="shared" si="3"/>
        <v>-9.7384317483037233E-2</v>
      </c>
      <c r="Q48" s="165"/>
      <c r="R48" s="166">
        <v>2.8985500000000001E-2</v>
      </c>
      <c r="S48" s="168">
        <f t="shared" si="4"/>
        <v>-0.12979687457751321</v>
      </c>
      <c r="T48" s="168">
        <f t="shared" si="4"/>
        <v>3.1683335589651751E-3</v>
      </c>
      <c r="U48" s="168">
        <f t="shared" si="4"/>
        <v>3.7886470184710808E-2</v>
      </c>
      <c r="V48" s="168">
        <f t="shared" si="4"/>
        <v>-3.5155776638779224E-2</v>
      </c>
      <c r="W48" s="168">
        <f t="shared" si="4"/>
        <v>-1.754574821346111E-3</v>
      </c>
      <c r="X48" s="168">
        <f t="shared" si="4"/>
        <v>-2.927998865561332E-2</v>
      </c>
    </row>
    <row r="49" spans="1:24">
      <c r="A49" s="161">
        <v>1958</v>
      </c>
      <c r="B49" s="162">
        <v>0.43719954988747184</v>
      </c>
      <c r="C49" s="162">
        <v>1.7665461847389558E-2</v>
      </c>
      <c r="D49" s="162">
        <v>-2.0990181755274694E-2</v>
      </c>
      <c r="E49" s="162">
        <v>6.4300928973360261E-2</v>
      </c>
      <c r="F49" s="162">
        <v>6.6152149944873617E-3</v>
      </c>
      <c r="G49" s="162">
        <v>4.2918454935620964E-3</v>
      </c>
      <c r="H49" s="163">
        <f t="shared" si="6"/>
        <v>1435.8401808531264</v>
      </c>
      <c r="I49" s="163">
        <f t="shared" si="6"/>
        <v>144.93479807083966</v>
      </c>
      <c r="J49" s="163">
        <f t="shared" si="6"/>
        <v>220.38794814929315</v>
      </c>
      <c r="K49" s="163">
        <f t="shared" si="6"/>
        <v>434.11489226008382</v>
      </c>
      <c r="L49" s="163">
        <f t="shared" si="6"/>
        <v>259.02796068681954</v>
      </c>
      <c r="M49" s="163">
        <f t="shared" si="6"/>
        <v>170.05813953488368</v>
      </c>
      <c r="N49" s="162">
        <f t="shared" si="1"/>
        <v>0.4195340880400823</v>
      </c>
      <c r="O49" s="162">
        <f t="shared" si="2"/>
        <v>0.45818973164274651</v>
      </c>
      <c r="P49" s="164">
        <f t="shared" si="3"/>
        <v>0.37289862091411158</v>
      </c>
      <c r="Q49" s="165"/>
      <c r="R49" s="166">
        <v>1.7605599999999999E-2</v>
      </c>
      <c r="S49" s="168">
        <f t="shared" si="4"/>
        <v>0.41233455268669106</v>
      </c>
      <c r="T49" s="168">
        <f t="shared" si="4"/>
        <v>5.8826177243398448E-5</v>
      </c>
      <c r="U49" s="168">
        <f t="shared" si="4"/>
        <v>-3.7928035925976267E-2</v>
      </c>
      <c r="V49" s="168">
        <f t="shared" si="4"/>
        <v>4.5887452833750286E-2</v>
      </c>
      <c r="W49" s="168">
        <f t="shared" si="4"/>
        <v>-1.0800240294975394E-2</v>
      </c>
      <c r="X49" s="168">
        <f t="shared" si="4"/>
        <v>-1.3083413167574887E-2</v>
      </c>
    </row>
    <row r="50" spans="1:24">
      <c r="A50" s="161">
        <v>1959</v>
      </c>
      <c r="B50" s="162">
        <v>0.12056457163557326</v>
      </c>
      <c r="C50" s="162">
        <v>3.3860159362549803E-2</v>
      </c>
      <c r="D50" s="162">
        <v>-2.6466312591385065E-2</v>
      </c>
      <c r="E50" s="162">
        <v>1.5743430895022732E-2</v>
      </c>
      <c r="F50" s="162">
        <v>1.0952902519167917E-3</v>
      </c>
      <c r="G50" s="162">
        <v>0</v>
      </c>
      <c r="H50" s="163">
        <f t="shared" si="6"/>
        <v>1608.9516371948275</v>
      </c>
      <c r="I50" s="163">
        <f t="shared" si="6"/>
        <v>149.84231343069726</v>
      </c>
      <c r="J50" s="163">
        <f t="shared" si="6"/>
        <v>214.55509182219998</v>
      </c>
      <c r="K50" s="163">
        <f t="shared" si="6"/>
        <v>440.94935006688075</v>
      </c>
      <c r="L50" s="163">
        <f t="shared" si="6"/>
        <v>259.31167148713371</v>
      </c>
      <c r="M50" s="163">
        <f t="shared" si="6"/>
        <v>170.05813953488368</v>
      </c>
      <c r="N50" s="162">
        <f t="shared" si="1"/>
        <v>8.6704412273023446E-2</v>
      </c>
      <c r="O50" s="162">
        <f t="shared" si="2"/>
        <v>0.14703088422695831</v>
      </c>
      <c r="P50" s="164">
        <f t="shared" si="3"/>
        <v>0.10482114074055052</v>
      </c>
      <c r="Q50" s="165"/>
      <c r="R50" s="166">
        <v>1.7301E-2</v>
      </c>
      <c r="S50" s="168">
        <f t="shared" si="4"/>
        <v>0.1015073922423877</v>
      </c>
      <c r="T50" s="168">
        <f t="shared" si="4"/>
        <v>1.6277541615067559E-2</v>
      </c>
      <c r="U50" s="168">
        <f t="shared" si="4"/>
        <v>-4.3022972150214223E-2</v>
      </c>
      <c r="V50" s="168">
        <f t="shared" si="4"/>
        <v>-1.5310798917697044E-3</v>
      </c>
      <c r="W50" s="168">
        <f t="shared" si="4"/>
        <v>-1.5930103035466603E-2</v>
      </c>
      <c r="X50" s="168">
        <f t="shared" si="4"/>
        <v>-1.7006765942430002E-2</v>
      </c>
    </row>
    <row r="51" spans="1:24">
      <c r="A51" s="161">
        <v>1960</v>
      </c>
      <c r="B51" s="162">
        <v>3.36535314743695E-3</v>
      </c>
      <c r="C51" s="162">
        <v>2.8729718875502006E-2</v>
      </c>
      <c r="D51" s="162">
        <v>0.11639503690963365</v>
      </c>
      <c r="E51" s="162">
        <v>6.6631871633034342E-2</v>
      </c>
      <c r="F51" s="162">
        <v>7.6586433260392717E-3</v>
      </c>
      <c r="G51" s="162">
        <v>4.8433048433049741E-3</v>
      </c>
      <c r="H51" s="163">
        <f t="shared" si="6"/>
        <v>1614.366327651135</v>
      </c>
      <c r="I51" s="163">
        <f t="shared" si="6"/>
        <v>154.14724097121606</v>
      </c>
      <c r="J51" s="163">
        <f t="shared" si="6"/>
        <v>239.52823965399477</v>
      </c>
      <c r="K51" s="163">
        <f t="shared" si="6"/>
        <v>470.33063055720703</v>
      </c>
      <c r="L51" s="163">
        <f t="shared" si="6"/>
        <v>261.29764708933271</v>
      </c>
      <c r="M51" s="163">
        <f t="shared" si="6"/>
        <v>170.8817829457364</v>
      </c>
      <c r="N51" s="162">
        <f t="shared" si="1"/>
        <v>-2.5364365728065056E-2</v>
      </c>
      <c r="O51" s="162">
        <f t="shared" si="2"/>
        <v>-0.1130296837621967</v>
      </c>
      <c r="P51" s="164">
        <f t="shared" si="3"/>
        <v>-6.3266518485597389E-2</v>
      </c>
      <c r="Q51" s="164">
        <f t="shared" ref="Q51:Q112" si="7">((H51/100)^(1/(A51-$A$19+1)))-((J51/100)^(1/(A51-$A$19+1)))</f>
        <v>6.1119788031217315E-2</v>
      </c>
      <c r="R51" s="166">
        <v>1.36054E-2</v>
      </c>
      <c r="S51" s="168">
        <f t="shared" ref="S51:X82" si="8">(1+B51)/(1+$R51)-1</f>
        <v>-1.0102596979616685E-2</v>
      </c>
      <c r="T51" s="168">
        <f t="shared" si="8"/>
        <v>1.4921308504771025E-2</v>
      </c>
      <c r="U51" s="168">
        <f t="shared" si="8"/>
        <v>0.10140991445944691</v>
      </c>
      <c r="V51" s="168">
        <f t="shared" si="8"/>
        <v>5.231470908998137E-2</v>
      </c>
      <c r="W51" s="168">
        <f t="shared" si="8"/>
        <v>-5.8669346808539746E-3</v>
      </c>
      <c r="X51" s="168">
        <f t="shared" si="8"/>
        <v>-8.6444835008723242E-3</v>
      </c>
    </row>
    <row r="52" spans="1:24">
      <c r="A52" s="161">
        <v>1961</v>
      </c>
      <c r="B52" s="162">
        <v>0.26637712958182752</v>
      </c>
      <c r="C52" s="162">
        <v>2.3524899598393576E-2</v>
      </c>
      <c r="D52" s="162">
        <v>2.0609208076323167E-2</v>
      </c>
      <c r="E52" s="162">
        <v>5.0999999999999997E-2</v>
      </c>
      <c r="F52" s="162">
        <v>9.7719869706840434E-3</v>
      </c>
      <c r="G52" s="162">
        <v>-5.6705415367175327E-4</v>
      </c>
      <c r="H52" s="163">
        <f t="shared" ref="H52:M67" si="9">H51*(1+B52)</f>
        <v>2044.3965961044005</v>
      </c>
      <c r="I52" s="163">
        <f t="shared" si="9"/>
        <v>157.77353933843332</v>
      </c>
      <c r="J52" s="163">
        <f t="shared" si="9"/>
        <v>244.46472698517934</v>
      </c>
      <c r="K52" s="163">
        <f t="shared" si="9"/>
        <v>494.31749271562455</v>
      </c>
      <c r="L52" s="163">
        <f t="shared" si="9"/>
        <v>263.85104429216005</v>
      </c>
      <c r="M52" s="163">
        <f t="shared" si="9"/>
        <v>170.7848837209302</v>
      </c>
      <c r="N52" s="162">
        <f t="shared" si="1"/>
        <v>0.24285222998343395</v>
      </c>
      <c r="O52" s="162">
        <f t="shared" si="2"/>
        <v>0.24576792150550436</v>
      </c>
      <c r="P52" s="164">
        <f t="shared" si="3"/>
        <v>0.21537712958182753</v>
      </c>
      <c r="Q52" s="164">
        <f t="shared" si="7"/>
        <v>6.6173591829972622E-2</v>
      </c>
      <c r="R52" s="166">
        <v>6.7113999999999993E-3</v>
      </c>
      <c r="S52" s="168">
        <f t="shared" si="8"/>
        <v>0.25793462712533866</v>
      </c>
      <c r="T52" s="168">
        <f t="shared" si="8"/>
        <v>1.6701409756950891E-2</v>
      </c>
      <c r="U52" s="168">
        <f t="shared" si="8"/>
        <v>1.3805156151329268E-2</v>
      </c>
      <c r="V52" s="168">
        <f t="shared" si="8"/>
        <v>4.3993343077271208E-2</v>
      </c>
      <c r="W52" s="168">
        <f t="shared" si="8"/>
        <v>3.0401830859212442E-3</v>
      </c>
      <c r="X52" s="168">
        <f t="shared" si="8"/>
        <v>-7.2299311934599375E-3</v>
      </c>
    </row>
    <row r="53" spans="1:24">
      <c r="A53" s="161">
        <v>1962</v>
      </c>
      <c r="B53" s="162">
        <v>-8.8114605171208879E-2</v>
      </c>
      <c r="C53" s="162">
        <v>2.7723694779116466E-2</v>
      </c>
      <c r="D53" s="162">
        <v>5.693544054008462E-2</v>
      </c>
      <c r="E53" s="162">
        <v>6.4953279936065755E-2</v>
      </c>
      <c r="F53" s="162">
        <v>3.2258064516126339E-3</v>
      </c>
      <c r="G53" s="162">
        <v>-5.6737588652489013E-4</v>
      </c>
      <c r="H53" s="163">
        <f t="shared" si="9"/>
        <v>1864.2553972252979</v>
      </c>
      <c r="I53" s="163">
        <f t="shared" si="9"/>
        <v>162.14760478727297</v>
      </c>
      <c r="J53" s="163">
        <f t="shared" si="9"/>
        <v>258.38343391259201</v>
      </c>
      <c r="K53" s="163">
        <f t="shared" si="9"/>
        <v>526.42503519727666</v>
      </c>
      <c r="L53" s="163">
        <f t="shared" si="9"/>
        <v>264.70217669310244</v>
      </c>
      <c r="M53" s="163">
        <f t="shared" si="9"/>
        <v>170.68798449612399</v>
      </c>
      <c r="N53" s="162">
        <f t="shared" si="1"/>
        <v>-0.11583829995032535</v>
      </c>
      <c r="O53" s="162">
        <f t="shared" si="2"/>
        <v>-0.14505004571129348</v>
      </c>
      <c r="P53" s="164">
        <f t="shared" si="3"/>
        <v>-0.15306788510727465</v>
      </c>
      <c r="Q53" s="164">
        <f t="shared" si="7"/>
        <v>5.9683465378989942E-2</v>
      </c>
      <c r="R53" s="166">
        <v>1.3333299999999999E-2</v>
      </c>
      <c r="S53" s="168">
        <f t="shared" si="8"/>
        <v>-0.10011306760688599</v>
      </c>
      <c r="T53" s="168">
        <f t="shared" si="8"/>
        <v>1.4201047946530876E-2</v>
      </c>
      <c r="U53" s="168">
        <f t="shared" si="8"/>
        <v>4.302842957996611E-2</v>
      </c>
      <c r="V53" s="168">
        <f t="shared" si="8"/>
        <v>5.0940771349432312E-2</v>
      </c>
      <c r="W53" s="168">
        <f t="shared" si="8"/>
        <v>-9.9745005403328868E-3</v>
      </c>
      <c r="X53" s="168">
        <f t="shared" si="8"/>
        <v>-1.3717772707681597E-2</v>
      </c>
    </row>
    <row r="54" spans="1:24">
      <c r="A54" s="161">
        <v>1963</v>
      </c>
      <c r="B54" s="162">
        <v>0.22611927099841514</v>
      </c>
      <c r="C54" s="162">
        <v>3.1560240963855422E-2</v>
      </c>
      <c r="D54" s="162">
        <v>1.6841620739546127E-2</v>
      </c>
      <c r="E54" s="162">
        <v>5.4644805711862345E-2</v>
      </c>
      <c r="F54" s="162">
        <v>2.143622722400873E-2</v>
      </c>
      <c r="G54" s="162">
        <v>-3.9738858927048648E-3</v>
      </c>
      <c r="H54" s="163">
        <f t="shared" si="9"/>
        <v>2285.7994686007432</v>
      </c>
      <c r="I54" s="163">
        <f t="shared" si="9"/>
        <v>167.2650222660713</v>
      </c>
      <c r="J54" s="163">
        <f t="shared" si="9"/>
        <v>262.73502971192949</v>
      </c>
      <c r="K54" s="163">
        <f t="shared" si="9"/>
        <v>555.19142896749213</v>
      </c>
      <c r="L54" s="163">
        <f t="shared" si="9"/>
        <v>270.37639269938552</v>
      </c>
      <c r="M54" s="163">
        <f t="shared" si="9"/>
        <v>170.00968992248062</v>
      </c>
      <c r="N54" s="162">
        <f t="shared" si="1"/>
        <v>0.19455903003455971</v>
      </c>
      <c r="O54" s="162">
        <f t="shared" si="2"/>
        <v>0.20927765025886902</v>
      </c>
      <c r="P54" s="164">
        <f t="shared" si="3"/>
        <v>0.1714744652865528</v>
      </c>
      <c r="Q54" s="164">
        <f t="shared" si="7"/>
        <v>6.3618993911514821E-2</v>
      </c>
      <c r="R54" s="166">
        <v>1.6447400000000001E-2</v>
      </c>
      <c r="S54" s="168">
        <f t="shared" si="8"/>
        <v>0.20627911586808634</v>
      </c>
      <c r="T54" s="168">
        <f t="shared" si="8"/>
        <v>1.4868296149761706E-2</v>
      </c>
      <c r="U54" s="168">
        <f t="shared" si="8"/>
        <v>3.8784175112849262E-4</v>
      </c>
      <c r="V54" s="168">
        <f t="shared" si="8"/>
        <v>3.7579323545775312E-2</v>
      </c>
      <c r="W54" s="168">
        <f t="shared" si="8"/>
        <v>4.9081017119121384E-3</v>
      </c>
      <c r="X54" s="168">
        <f t="shared" si="8"/>
        <v>-2.0090843749223986E-2</v>
      </c>
    </row>
    <row r="55" spans="1:24">
      <c r="A55" s="161">
        <v>1964</v>
      </c>
      <c r="B55" s="162">
        <v>0.16415455878432425</v>
      </c>
      <c r="C55" s="162">
        <v>3.5457370517928286E-2</v>
      </c>
      <c r="D55" s="162">
        <v>3.7280648911540815E-2</v>
      </c>
      <c r="E55" s="162">
        <v>5.1617392722850271E-2</v>
      </c>
      <c r="F55" s="162">
        <v>1.2591815320041944E-2</v>
      </c>
      <c r="G55" s="162">
        <v>2.8498147620403813E-4</v>
      </c>
      <c r="H55" s="163">
        <f t="shared" si="9"/>
        <v>2661.0238718383412</v>
      </c>
      <c r="I55" s="163">
        <f t="shared" si="9"/>
        <v>173.1958001352489</v>
      </c>
      <c r="J55" s="163">
        <f t="shared" si="9"/>
        <v>272.52996211138321</v>
      </c>
      <c r="K55" s="163">
        <f t="shared" si="9"/>
        <v>583.84896299286754</v>
      </c>
      <c r="L55" s="163">
        <f t="shared" si="9"/>
        <v>273.78092230315531</v>
      </c>
      <c r="M55" s="163">
        <f t="shared" si="9"/>
        <v>170.05813953488371</v>
      </c>
      <c r="N55" s="162">
        <f t="shared" si="1"/>
        <v>0.12869718826639598</v>
      </c>
      <c r="O55" s="162">
        <f t="shared" si="2"/>
        <v>0.12687390987278344</v>
      </c>
      <c r="P55" s="164">
        <f t="shared" si="3"/>
        <v>0.11253716606147399</v>
      </c>
      <c r="Q55" s="164">
        <f t="shared" si="7"/>
        <v>6.5267777442658215E-2</v>
      </c>
      <c r="R55" s="166">
        <v>9.7087000000000007E-3</v>
      </c>
      <c r="S55" s="168">
        <f t="shared" si="8"/>
        <v>0.15296080818588997</v>
      </c>
      <c r="T55" s="168">
        <f t="shared" si="8"/>
        <v>2.5501088103854208E-2</v>
      </c>
      <c r="U55" s="168">
        <f t="shared" si="8"/>
        <v>2.7306835042167021E-2</v>
      </c>
      <c r="V55" s="168">
        <f t="shared" si="8"/>
        <v>4.1505726080056871E-2</v>
      </c>
      <c r="W55" s="168">
        <f t="shared" si="8"/>
        <v>2.8553931644264008E-3</v>
      </c>
      <c r="X55" s="168">
        <f t="shared" si="8"/>
        <v>-9.333106195674068E-3</v>
      </c>
    </row>
    <row r="56" spans="1:24">
      <c r="A56" s="161">
        <v>1965</v>
      </c>
      <c r="B56" s="162">
        <v>0.12399242477876114</v>
      </c>
      <c r="C56" s="162">
        <v>3.9490763052208833E-2</v>
      </c>
      <c r="D56" s="162">
        <v>7.1885509359262342E-3</v>
      </c>
      <c r="E56" s="162">
        <v>3.1900094622538809E-2</v>
      </c>
      <c r="F56" s="162">
        <v>1.6580310880829119E-2</v>
      </c>
      <c r="G56" s="162">
        <v>5.6980056980049376E-4</v>
      </c>
      <c r="H56" s="163">
        <f t="shared" si="9"/>
        <v>2990.9706741017444</v>
      </c>
      <c r="I56" s="163">
        <f t="shared" si="9"/>
        <v>180.03543444002773</v>
      </c>
      <c r="J56" s="163">
        <f t="shared" si="9"/>
        <v>274.48905762558695</v>
      </c>
      <c r="K56" s="163">
        <f t="shared" si="9"/>
        <v>602.47380015761109</v>
      </c>
      <c r="L56" s="163">
        <f t="shared" si="9"/>
        <v>278.32029510818177</v>
      </c>
      <c r="M56" s="163">
        <f t="shared" si="9"/>
        <v>170.15503875968989</v>
      </c>
      <c r="N56" s="162">
        <f t="shared" si="1"/>
        <v>8.450166172655231E-2</v>
      </c>
      <c r="O56" s="162">
        <f t="shared" si="2"/>
        <v>0.11680387384283492</v>
      </c>
      <c r="P56" s="164">
        <f t="shared" si="3"/>
        <v>9.2092330156222341E-2</v>
      </c>
      <c r="Q56" s="164">
        <f t="shared" si="7"/>
        <v>6.6617941689874449E-2</v>
      </c>
      <c r="R56" s="166">
        <v>1.9230799999999999E-2</v>
      </c>
      <c r="S56" s="168">
        <f t="shared" si="8"/>
        <v>0.10278498724603002</v>
      </c>
      <c r="T56" s="168">
        <f t="shared" si="8"/>
        <v>1.9877698998312043E-2</v>
      </c>
      <c r="U56" s="168">
        <f t="shared" si="8"/>
        <v>-1.1815036460901651E-2</v>
      </c>
      <c r="V56" s="168">
        <f t="shared" si="8"/>
        <v>1.2430250952520927E-2</v>
      </c>
      <c r="W56" s="168">
        <f t="shared" si="8"/>
        <v>-2.6004798120022876E-3</v>
      </c>
      <c r="X56" s="168">
        <f t="shared" si="8"/>
        <v>-1.8308904548606231E-2</v>
      </c>
    </row>
    <row r="57" spans="1:24">
      <c r="A57" s="161">
        <v>1966</v>
      </c>
      <c r="B57" s="162">
        <v>-9.9709542356377898E-2</v>
      </c>
      <c r="C57" s="162">
        <v>4.8557199999999995E-2</v>
      </c>
      <c r="D57" s="162">
        <v>2.9079409324299622E-2</v>
      </c>
      <c r="E57" s="162">
        <v>-3.4453615975776369E-2</v>
      </c>
      <c r="F57" s="162">
        <v>1.2232415902140525E-2</v>
      </c>
      <c r="G57" s="162">
        <v>2.8473804100248579E-4</v>
      </c>
      <c r="H57" s="163">
        <f t="shared" si="9"/>
        <v>2692.7423569857124</v>
      </c>
      <c r="I57" s="163">
        <f t="shared" si="9"/>
        <v>188.77745103721907</v>
      </c>
      <c r="J57" s="163">
        <f t="shared" si="9"/>
        <v>282.47103728732264</v>
      </c>
      <c r="K57" s="163">
        <f t="shared" si="9"/>
        <v>581.71639921151416</v>
      </c>
      <c r="L57" s="163">
        <f t="shared" si="9"/>
        <v>281.72482471195156</v>
      </c>
      <c r="M57" s="163">
        <f t="shared" si="9"/>
        <v>170.20348837209303</v>
      </c>
      <c r="N57" s="162">
        <f t="shared" si="1"/>
        <v>-0.14826674235637788</v>
      </c>
      <c r="O57" s="162">
        <f t="shared" si="2"/>
        <v>-0.12878895168067753</v>
      </c>
      <c r="P57" s="164">
        <f t="shared" si="3"/>
        <v>-6.5255926380601528E-2</v>
      </c>
      <c r="Q57" s="164">
        <f t="shared" si="7"/>
        <v>6.1123719679815336E-2</v>
      </c>
      <c r="R57" s="166">
        <v>3.4591200000000003E-2</v>
      </c>
      <c r="S57" s="168">
        <f t="shared" si="8"/>
        <v>-0.12981044334842384</v>
      </c>
      <c r="T57" s="168">
        <f t="shared" si="8"/>
        <v>1.3499051606083778E-2</v>
      </c>
      <c r="U57" s="168">
        <f t="shared" si="8"/>
        <v>-5.3275058551631727E-3</v>
      </c>
      <c r="V57" s="168">
        <f t="shared" si="8"/>
        <v>-6.6736326363278864E-2</v>
      </c>
      <c r="W57" s="168">
        <f t="shared" si="8"/>
        <v>-2.1611225861827732E-2</v>
      </c>
      <c r="X57" s="168">
        <f t="shared" si="8"/>
        <v>-3.3159437233757139E-2</v>
      </c>
    </row>
    <row r="58" spans="1:24">
      <c r="A58" s="161">
        <v>1967</v>
      </c>
      <c r="B58" s="162">
        <v>0.23802966513133328</v>
      </c>
      <c r="C58" s="162">
        <v>4.2934538152610439E-2</v>
      </c>
      <c r="D58" s="162">
        <v>-1.5806209932824666E-2</v>
      </c>
      <c r="E58" s="162">
        <v>8.9522661484468247E-3</v>
      </c>
      <c r="F58" s="162">
        <v>2.3162134944612278E-2</v>
      </c>
      <c r="G58" s="162">
        <v>-5.1238257899230977E-3</v>
      </c>
      <c r="H58" s="163">
        <f t="shared" si="9"/>
        <v>3333.6949185039784</v>
      </c>
      <c r="I58" s="163">
        <f t="shared" si="9"/>
        <v>196.8825237111291</v>
      </c>
      <c r="J58" s="163">
        <f t="shared" si="9"/>
        <v>278.0062407720165</v>
      </c>
      <c r="K58" s="163">
        <f t="shared" si="9"/>
        <v>586.92407924017186</v>
      </c>
      <c r="L58" s="163">
        <f t="shared" si="9"/>
        <v>288.25017311917702</v>
      </c>
      <c r="M58" s="163">
        <f t="shared" si="9"/>
        <v>169.33139534883722</v>
      </c>
      <c r="N58" s="162">
        <f t="shared" si="1"/>
        <v>0.19509512697872283</v>
      </c>
      <c r="O58" s="162">
        <f t="shared" si="2"/>
        <v>0.25383587506415795</v>
      </c>
      <c r="P58" s="164">
        <f t="shared" si="3"/>
        <v>0.22907739898288645</v>
      </c>
      <c r="Q58" s="164">
        <f t="shared" si="7"/>
        <v>6.5732838776739522E-2</v>
      </c>
      <c r="R58" s="166">
        <v>3.0395099999999998E-2</v>
      </c>
      <c r="S58" s="168">
        <f t="shared" si="8"/>
        <v>0.20150965889815775</v>
      </c>
      <c r="T58" s="168">
        <f t="shared" si="8"/>
        <v>1.2169543656225246E-2</v>
      </c>
      <c r="U58" s="168">
        <f t="shared" si="8"/>
        <v>-4.4838441033759446E-2</v>
      </c>
      <c r="V58" s="168">
        <f t="shared" si="8"/>
        <v>-2.0810302622317534E-2</v>
      </c>
      <c r="W58" s="168">
        <f t="shared" si="8"/>
        <v>-7.0196035048960548E-3</v>
      </c>
      <c r="X58" s="168">
        <f t="shared" si="8"/>
        <v>-3.4471171097303466E-2</v>
      </c>
    </row>
    <row r="59" spans="1:24">
      <c r="A59" s="161">
        <v>1968</v>
      </c>
      <c r="B59" s="162">
        <v>0.10814862651601535</v>
      </c>
      <c r="C59" s="162">
        <v>5.3376E-2</v>
      </c>
      <c r="D59" s="162">
        <v>3.2746196950768365E-2</v>
      </c>
      <c r="E59" s="162">
        <v>4.845146224309746E-2</v>
      </c>
      <c r="F59" s="162">
        <v>4.1338582677165281E-2</v>
      </c>
      <c r="G59" s="162">
        <v>0.12474964234620889</v>
      </c>
      <c r="H59" s="163">
        <f t="shared" si="9"/>
        <v>3694.2294451636035</v>
      </c>
      <c r="I59" s="163">
        <f t="shared" si="9"/>
        <v>207.39132529673435</v>
      </c>
      <c r="J59" s="163">
        <f t="shared" si="9"/>
        <v>287.10988788587969</v>
      </c>
      <c r="K59" s="163">
        <f t="shared" si="9"/>
        <v>615.36140910504173</v>
      </c>
      <c r="L59" s="163">
        <f t="shared" si="9"/>
        <v>300.16602673237134</v>
      </c>
      <c r="M59" s="163">
        <f t="shared" si="9"/>
        <v>190.45542635658916</v>
      </c>
      <c r="N59" s="162">
        <f t="shared" si="1"/>
        <v>5.4772626516015353E-2</v>
      </c>
      <c r="O59" s="162">
        <f t="shared" si="2"/>
        <v>7.5402429565246981E-2</v>
      </c>
      <c r="P59" s="164">
        <f t="shared" si="3"/>
        <v>5.9697164272917894E-2</v>
      </c>
      <c r="Q59" s="164">
        <f t="shared" si="7"/>
        <v>6.596627828748769E-2</v>
      </c>
      <c r="R59" s="166">
        <v>4.7197599999999999E-2</v>
      </c>
      <c r="S59" s="168">
        <f t="shared" si="8"/>
        <v>5.8203940226768447E-2</v>
      </c>
      <c r="T59" s="168">
        <f t="shared" si="8"/>
        <v>5.8999371274341961E-3</v>
      </c>
      <c r="U59" s="168">
        <f t="shared" si="8"/>
        <v>-1.3800072736255053E-2</v>
      </c>
      <c r="V59" s="168">
        <f t="shared" si="8"/>
        <v>1.1973501878703718E-3</v>
      </c>
      <c r="W59" s="168">
        <f t="shared" si="8"/>
        <v>-5.5949491507951699E-3</v>
      </c>
      <c r="X59" s="168">
        <f t="shared" si="8"/>
        <v>7.4056741866299847E-2</v>
      </c>
    </row>
    <row r="60" spans="1:24">
      <c r="A60" s="161">
        <v>1969</v>
      </c>
      <c r="B60" s="162">
        <v>-8.2413710764490639E-2</v>
      </c>
      <c r="C60" s="162">
        <v>6.668467741935484E-2</v>
      </c>
      <c r="D60" s="162">
        <v>-5.0140493209926106E-2</v>
      </c>
      <c r="E60" s="162">
        <v>-2.0251642507921469E-2</v>
      </c>
      <c r="F60" s="162">
        <v>6.9943289224952743E-2</v>
      </c>
      <c r="G60" s="162">
        <v>5.0114474688374377E-2</v>
      </c>
      <c r="H60" s="163">
        <f t="shared" si="9"/>
        <v>3389.7742881722256</v>
      </c>
      <c r="I60" s="163">
        <f t="shared" si="9"/>
        <v>221.22114892371957</v>
      </c>
      <c r="J60" s="163">
        <f t="shared" si="9"/>
        <v>272.7140565018351</v>
      </c>
      <c r="K60" s="163">
        <f t="shared" si="9"/>
        <v>602.89932983467565</v>
      </c>
      <c r="L60" s="163">
        <f t="shared" si="9"/>
        <v>321.16062595561846</v>
      </c>
      <c r="M60" s="163">
        <f t="shared" si="9"/>
        <v>200</v>
      </c>
      <c r="N60" s="162">
        <f t="shared" si="1"/>
        <v>-0.14909838818384546</v>
      </c>
      <c r="O60" s="162">
        <f t="shared" si="2"/>
        <v>-3.2273217554564533E-2</v>
      </c>
      <c r="P60" s="164">
        <f t="shared" si="3"/>
        <v>-6.216206825656917E-2</v>
      </c>
      <c r="Q60" s="164">
        <f t="shared" si="7"/>
        <v>6.3333872734198771E-2</v>
      </c>
      <c r="R60" s="166">
        <v>6.19718E-2</v>
      </c>
      <c r="S60" s="168">
        <f t="shared" si="8"/>
        <v>-0.13595983505822917</v>
      </c>
      <c r="T60" s="168">
        <f t="shared" si="8"/>
        <v>4.4378555243695939E-3</v>
      </c>
      <c r="U60" s="168">
        <f t="shared" si="8"/>
        <v>-0.10556993435223616</v>
      </c>
      <c r="V60" s="168">
        <f t="shared" si="8"/>
        <v>-7.7425259793076906E-2</v>
      </c>
      <c r="W60" s="168">
        <f t="shared" si="8"/>
        <v>7.5063097013994273E-3</v>
      </c>
      <c r="X60" s="168">
        <f t="shared" si="8"/>
        <v>-1.1165386229300633E-2</v>
      </c>
    </row>
    <row r="61" spans="1:24">
      <c r="A61" s="161">
        <v>1970</v>
      </c>
      <c r="B61" s="162">
        <v>3.5611449054964189E-2</v>
      </c>
      <c r="C61" s="162">
        <v>6.3909999999999995E-2</v>
      </c>
      <c r="D61" s="162">
        <v>0.16754737183412338</v>
      </c>
      <c r="E61" s="162">
        <v>5.6495676569888728E-2</v>
      </c>
      <c r="F61" s="162">
        <v>8.2155477031802038E-2</v>
      </c>
      <c r="G61" s="162">
        <v>-9.4476744186046457E-2</v>
      </c>
      <c r="H61" s="163">
        <f t="shared" si="9"/>
        <v>3510.4890625432981</v>
      </c>
      <c r="I61" s="163">
        <f t="shared" si="9"/>
        <v>235.35939255143447</v>
      </c>
      <c r="J61" s="163">
        <f t="shared" si="9"/>
        <v>318.40657993094021</v>
      </c>
      <c r="K61" s="163">
        <f t="shared" si="9"/>
        <v>636.96053537721821</v>
      </c>
      <c r="L61" s="163">
        <f t="shared" si="9"/>
        <v>347.54573038483443</v>
      </c>
      <c r="M61" s="163">
        <f t="shared" si="9"/>
        <v>181.1046511627907</v>
      </c>
      <c r="N61" s="162">
        <f t="shared" si="1"/>
        <v>-2.8298550945035805E-2</v>
      </c>
      <c r="O61" s="162">
        <f t="shared" si="2"/>
        <v>-0.13193592277915919</v>
      </c>
      <c r="P61" s="164">
        <f t="shared" si="3"/>
        <v>-2.0884227514924539E-2</v>
      </c>
      <c r="Q61" s="164">
        <f t="shared" si="7"/>
        <v>5.8972566666315007E-2</v>
      </c>
      <c r="R61" s="166">
        <v>5.57029E-2</v>
      </c>
      <c r="S61" s="168">
        <f t="shared" si="8"/>
        <v>-1.9031349582383283E-2</v>
      </c>
      <c r="T61" s="168">
        <f t="shared" si="8"/>
        <v>7.7740621911712715E-3</v>
      </c>
      <c r="U61" s="168">
        <f t="shared" si="8"/>
        <v>0.10594313213890327</v>
      </c>
      <c r="V61" s="168">
        <f t="shared" si="8"/>
        <v>7.5094666301356305E-4</v>
      </c>
      <c r="W61" s="168">
        <f t="shared" si="8"/>
        <v>2.5056838464498021E-2</v>
      </c>
      <c r="X61" s="168">
        <f t="shared" si="8"/>
        <v>-0.14225559500314577</v>
      </c>
    </row>
    <row r="62" spans="1:24">
      <c r="A62" s="161">
        <v>1971</v>
      </c>
      <c r="B62" s="162">
        <v>0.14221150298426474</v>
      </c>
      <c r="C62" s="162">
        <v>4.3342570281124503E-2</v>
      </c>
      <c r="D62" s="162">
        <v>9.7868966197122972E-2</v>
      </c>
      <c r="E62" s="162">
        <v>0.1400146617421994</v>
      </c>
      <c r="F62" s="162">
        <v>4.24489795918368E-2</v>
      </c>
      <c r="G62" s="162">
        <v>0.16693418940609939</v>
      </c>
      <c r="H62" s="163">
        <f t="shared" si="9"/>
        <v>4009.720988337403</v>
      </c>
      <c r="I62" s="163">
        <f t="shared" si="9"/>
        <v>245.5604735644178</v>
      </c>
      <c r="J62" s="163">
        <f t="shared" si="9"/>
        <v>349.56870273914296</v>
      </c>
      <c r="K62" s="163">
        <f t="shared" si="9"/>
        <v>726.14434928118965</v>
      </c>
      <c r="L62" s="163">
        <f t="shared" si="9"/>
        <v>362.29869200117025</v>
      </c>
      <c r="M62" s="163">
        <f t="shared" si="9"/>
        <v>211.33720930232556</v>
      </c>
      <c r="N62" s="162">
        <f t="shared" si="1"/>
        <v>9.8868932703140233E-2</v>
      </c>
      <c r="O62" s="162">
        <f t="shared" si="2"/>
        <v>4.434253678714177E-2</v>
      </c>
      <c r="P62" s="164">
        <f t="shared" si="3"/>
        <v>2.1968412420653449E-3</v>
      </c>
      <c r="Q62" s="164">
        <f t="shared" si="7"/>
        <v>5.8660636809878541E-2</v>
      </c>
      <c r="R62" s="166">
        <v>3.2663299999999999E-2</v>
      </c>
      <c r="S62" s="168">
        <f t="shared" si="8"/>
        <v>0.10608317636955311</v>
      </c>
      <c r="T62" s="168">
        <f t="shared" si="8"/>
        <v>1.0341483309346255E-2</v>
      </c>
      <c r="U62" s="168">
        <f t="shared" si="8"/>
        <v>6.3143200883698514E-2</v>
      </c>
      <c r="V62" s="168">
        <f t="shared" si="8"/>
        <v>0.10395582155597016</v>
      </c>
      <c r="W62" s="168">
        <f t="shared" si="8"/>
        <v>9.4761570318580013E-3</v>
      </c>
      <c r="X62" s="168">
        <f t="shared" si="8"/>
        <v>0.13002388039363777</v>
      </c>
    </row>
    <row r="63" spans="1:24">
      <c r="A63" s="161">
        <v>1972</v>
      </c>
      <c r="B63" s="162">
        <v>0.18755362915074925</v>
      </c>
      <c r="C63" s="162">
        <v>4.0618399999999999E-2</v>
      </c>
      <c r="D63" s="162">
        <v>2.818449050444969E-2</v>
      </c>
      <c r="E63" s="162">
        <v>0.11409093579389698</v>
      </c>
      <c r="F63" s="162">
        <v>2.9757243539545897E-2</v>
      </c>
      <c r="G63" s="162">
        <v>0.48784961027051832</v>
      </c>
      <c r="H63" s="163">
        <f t="shared" si="9"/>
        <v>4761.7587115820115</v>
      </c>
      <c r="I63" s="163">
        <f t="shared" si="9"/>
        <v>255.53474710384677</v>
      </c>
      <c r="J63" s="163">
        <f t="shared" si="9"/>
        <v>359.42111852214714</v>
      </c>
      <c r="K63" s="163">
        <f t="shared" si="9"/>
        <v>808.99083761213103</v>
      </c>
      <c r="L63" s="163">
        <f t="shared" si="9"/>
        <v>373.07970241310801</v>
      </c>
      <c r="M63" s="163">
        <f t="shared" si="9"/>
        <v>314.43798449612405</v>
      </c>
      <c r="N63" s="162">
        <f t="shared" si="1"/>
        <v>0.14693522915074925</v>
      </c>
      <c r="O63" s="162">
        <f t="shared" si="2"/>
        <v>0.15936913864629956</v>
      </c>
      <c r="P63" s="164">
        <f t="shared" si="3"/>
        <v>7.3462693356852266E-2</v>
      </c>
      <c r="Q63" s="164">
        <f t="shared" si="7"/>
        <v>6.0804303728189568E-2</v>
      </c>
      <c r="R63" s="166">
        <v>3.4063299999999998E-2</v>
      </c>
      <c r="S63" s="168">
        <f t="shared" si="8"/>
        <v>0.14843417143877868</v>
      </c>
      <c r="T63" s="168">
        <f t="shared" si="8"/>
        <v>6.3391670509920228E-3</v>
      </c>
      <c r="U63" s="168">
        <f t="shared" si="8"/>
        <v>-5.6851543764778745E-3</v>
      </c>
      <c r="V63" s="168">
        <f t="shared" si="8"/>
        <v>7.739142835249746E-2</v>
      </c>
      <c r="W63" s="168">
        <f t="shared" si="8"/>
        <v>-4.1642097349882112E-3</v>
      </c>
      <c r="X63" s="168">
        <f t="shared" si="8"/>
        <v>0.43883803851323067</v>
      </c>
    </row>
    <row r="64" spans="1:24">
      <c r="A64" s="161">
        <v>1973</v>
      </c>
      <c r="B64" s="162">
        <v>-0.14308047437526472</v>
      </c>
      <c r="C64" s="162">
        <v>7.0354435483870964E-2</v>
      </c>
      <c r="D64" s="162">
        <v>3.6586646024150085E-2</v>
      </c>
      <c r="E64" s="162">
        <v>4.3180404854323576E-2</v>
      </c>
      <c r="F64" s="162">
        <v>3.4220532319391594E-2</v>
      </c>
      <c r="G64" s="162">
        <v>0.72958397534668706</v>
      </c>
      <c r="H64" s="163">
        <f t="shared" si="9"/>
        <v>4080.4440162683081</v>
      </c>
      <c r="I64" s="163">
        <f t="shared" si="9"/>
        <v>273.51274998285163</v>
      </c>
      <c r="J64" s="163">
        <f t="shared" si="9"/>
        <v>372.57113175912104</v>
      </c>
      <c r="K64" s="163">
        <f t="shared" si="9"/>
        <v>843.92338950366127</v>
      </c>
      <c r="L64" s="163">
        <f t="shared" si="9"/>
        <v>385.84668842724477</v>
      </c>
      <c r="M64" s="163">
        <f t="shared" si="9"/>
        <v>543.84689922480618</v>
      </c>
      <c r="N64" s="162">
        <f t="shared" si="1"/>
        <v>-0.21343490985913569</v>
      </c>
      <c r="O64" s="162">
        <f t="shared" si="2"/>
        <v>-0.17966712039941479</v>
      </c>
      <c r="P64" s="164">
        <f t="shared" si="3"/>
        <v>-0.18626087922958828</v>
      </c>
      <c r="Q64" s="164">
        <f t="shared" si="7"/>
        <v>5.4960045718843054E-2</v>
      </c>
      <c r="R64" s="166">
        <v>8.7058800000000006E-2</v>
      </c>
      <c r="S64" s="168">
        <f t="shared" si="8"/>
        <v>-0.21170821152937158</v>
      </c>
      <c r="T64" s="168">
        <f t="shared" si="8"/>
        <v>-1.5366569422122445E-2</v>
      </c>
      <c r="U64" s="168">
        <f t="shared" si="8"/>
        <v>-4.6430012779299479E-2</v>
      </c>
      <c r="V64" s="168">
        <f t="shared" si="8"/>
        <v>-4.0364325412458379E-2</v>
      </c>
      <c r="W64" s="168">
        <f t="shared" si="8"/>
        <v>-4.8606632576460918E-2</v>
      </c>
      <c r="X64" s="168">
        <f t="shared" si="8"/>
        <v>0.59106754422731034</v>
      </c>
    </row>
    <row r="65" spans="1:24">
      <c r="A65" s="161">
        <v>1974</v>
      </c>
      <c r="B65" s="162">
        <v>-0.25901785750896972</v>
      </c>
      <c r="C65" s="162">
        <v>7.8457831325301208E-2</v>
      </c>
      <c r="D65" s="162">
        <v>1.9886086932378574E-2</v>
      </c>
      <c r="E65" s="162">
        <v>-4.3807197977191667E-2</v>
      </c>
      <c r="F65" s="162">
        <v>0.10073529411764692</v>
      </c>
      <c r="G65" s="162">
        <v>0.66146993318485525</v>
      </c>
      <c r="H65" s="163">
        <f t="shared" si="9"/>
        <v>3023.5361494891954</v>
      </c>
      <c r="I65" s="163">
        <f t="shared" si="9"/>
        <v>294.97196718632551</v>
      </c>
      <c r="J65" s="163">
        <f t="shared" si="9"/>
        <v>379.98011367377757</v>
      </c>
      <c r="K65" s="163">
        <f t="shared" si="9"/>
        <v>806.9534705020917</v>
      </c>
      <c r="L65" s="163">
        <f t="shared" si="9"/>
        <v>424.71506807028334</v>
      </c>
      <c r="M65" s="163">
        <f t="shared" si="9"/>
        <v>903.58527131782944</v>
      </c>
      <c r="N65" s="162">
        <f t="shared" si="1"/>
        <v>-0.33747568883427093</v>
      </c>
      <c r="O65" s="162">
        <f t="shared" si="2"/>
        <v>-0.27890394444134831</v>
      </c>
      <c r="P65" s="164">
        <f t="shared" si="3"/>
        <v>-0.21521065953177804</v>
      </c>
      <c r="Q65" s="164">
        <f t="shared" si="7"/>
        <v>4.6417018581159875E-2</v>
      </c>
      <c r="R65" s="166">
        <v>0.1233766</v>
      </c>
      <c r="S65" s="168">
        <f t="shared" si="8"/>
        <v>-0.34039738544399956</v>
      </c>
      <c r="T65" s="168">
        <f t="shared" si="8"/>
        <v>-3.9985494334401128E-2</v>
      </c>
      <c r="U65" s="168">
        <f t="shared" si="8"/>
        <v>-9.2124504878970725E-2</v>
      </c>
      <c r="V65" s="168">
        <f t="shared" si="8"/>
        <v>-0.1488225747066404</v>
      </c>
      <c r="W65" s="168">
        <f t="shared" si="8"/>
        <v>-2.0154688892712547E-2</v>
      </c>
      <c r="X65" s="168">
        <f t="shared" si="8"/>
        <v>0.47899638748470919</v>
      </c>
    </row>
    <row r="66" spans="1:24">
      <c r="A66" s="161">
        <v>1975</v>
      </c>
      <c r="B66" s="162">
        <v>0.36995137106184356</v>
      </c>
      <c r="C66" s="162">
        <v>5.7863855421686747E-2</v>
      </c>
      <c r="D66" s="162">
        <v>3.6052536026033838E-2</v>
      </c>
      <c r="E66" s="162">
        <v>0.11049964074144952</v>
      </c>
      <c r="F66" s="162">
        <v>6.7737093749264288E-2</v>
      </c>
      <c r="G66" s="162">
        <v>-0.24798927613941024</v>
      </c>
      <c r="H66" s="163">
        <f t="shared" si="9"/>
        <v>4142.0974934477708</v>
      </c>
      <c r="I66" s="163">
        <f t="shared" si="9"/>
        <v>312.04018244904557</v>
      </c>
      <c r="J66" s="163">
        <f t="shared" si="9"/>
        <v>393.67936041117781</v>
      </c>
      <c r="K66" s="163">
        <f t="shared" si="9"/>
        <v>896.12153908763878</v>
      </c>
      <c r="L66" s="163">
        <f t="shared" si="9"/>
        <v>453.48403245288529</v>
      </c>
      <c r="M66" s="163">
        <f t="shared" si="9"/>
        <v>679.50581395348831</v>
      </c>
      <c r="N66" s="162">
        <f t="shared" si="1"/>
        <v>0.3120875156401568</v>
      </c>
      <c r="O66" s="162">
        <f t="shared" si="2"/>
        <v>0.33389883503580975</v>
      </c>
      <c r="P66" s="164">
        <f t="shared" si="3"/>
        <v>0.25945173032039404</v>
      </c>
      <c r="Q66" s="164">
        <f t="shared" si="7"/>
        <v>5.1706756781676244E-2</v>
      </c>
      <c r="R66" s="166">
        <v>6.9364200000000001E-2</v>
      </c>
      <c r="S66" s="168">
        <f t="shared" si="8"/>
        <v>0.28108961480274308</v>
      </c>
      <c r="T66" s="168">
        <f t="shared" si="8"/>
        <v>-1.0754375897672031E-2</v>
      </c>
      <c r="U66" s="168">
        <f t="shared" si="8"/>
        <v>-3.1150906280541624E-2</v>
      </c>
      <c r="V66" s="168">
        <f t="shared" si="8"/>
        <v>3.8467194564255625E-2</v>
      </c>
      <c r="W66" s="168">
        <f t="shared" si="8"/>
        <v>-1.5215641693782089E-3</v>
      </c>
      <c r="X66" s="168">
        <f t="shared" si="8"/>
        <v>-0.29676837520782007</v>
      </c>
    </row>
    <row r="67" spans="1:24">
      <c r="A67" s="161">
        <v>1976</v>
      </c>
      <c r="B67" s="162">
        <v>0.23830999002106662</v>
      </c>
      <c r="C67" s="162">
        <v>4.9766000000000005E-2</v>
      </c>
      <c r="D67" s="162">
        <v>0.1598456074290921</v>
      </c>
      <c r="E67" s="162">
        <v>0.19752813987098014</v>
      </c>
      <c r="F67" s="162">
        <v>8.1778348568406711E-2</v>
      </c>
      <c r="G67" s="162">
        <v>-4.099821746880572E-2</v>
      </c>
      <c r="H67" s="163">
        <f t="shared" si="9"/>
        <v>5129.2007057775936</v>
      </c>
      <c r="I67" s="163">
        <f t="shared" si="9"/>
        <v>327.56917416880475</v>
      </c>
      <c r="J67" s="163">
        <f t="shared" si="9"/>
        <v>456.607276908399</v>
      </c>
      <c r="K67" s="163">
        <f t="shared" si="9"/>
        <v>1073.1307598019398</v>
      </c>
      <c r="L67" s="163">
        <f t="shared" si="9"/>
        <v>490.56920772902401</v>
      </c>
      <c r="M67" s="163">
        <f t="shared" si="9"/>
        <v>651.64728682170539</v>
      </c>
      <c r="N67" s="162">
        <f t="shared" si="1"/>
        <v>0.18854399002106662</v>
      </c>
      <c r="O67" s="162">
        <f t="shared" si="2"/>
        <v>7.8464382591974524E-2</v>
      </c>
      <c r="P67" s="164">
        <f t="shared" si="3"/>
        <v>4.0781850150086479E-2</v>
      </c>
      <c r="Q67" s="164">
        <f t="shared" si="7"/>
        <v>5.2196588038950109E-2</v>
      </c>
      <c r="R67" s="166">
        <v>4.86486E-2</v>
      </c>
      <c r="S67" s="168">
        <f t="shared" si="8"/>
        <v>0.18086267413227519</v>
      </c>
      <c r="T67" s="168">
        <f t="shared" si="8"/>
        <v>1.0655619051034293E-3</v>
      </c>
      <c r="U67" s="168">
        <f t="shared" si="8"/>
        <v>0.10603838829241008</v>
      </c>
      <c r="V67" s="168">
        <f t="shared" si="8"/>
        <v>0.14197276367982581</v>
      </c>
      <c r="W67" s="168">
        <f t="shared" si="8"/>
        <v>3.1592802935517916E-2</v>
      </c>
      <c r="X67" s="168">
        <f t="shared" si="8"/>
        <v>-8.5487948459384455E-2</v>
      </c>
    </row>
    <row r="68" spans="1:24">
      <c r="A68" s="161">
        <v>1977</v>
      </c>
      <c r="B68" s="162">
        <v>-6.9797040759352322E-2</v>
      </c>
      <c r="C68" s="162">
        <v>5.2609638554216867E-2</v>
      </c>
      <c r="D68" s="162">
        <v>1.2899606071070449E-2</v>
      </c>
      <c r="E68" s="162">
        <v>9.9546628520906386E-2</v>
      </c>
      <c r="F68" s="162">
        <v>0.14654841300324728</v>
      </c>
      <c r="G68" s="162">
        <v>0.2263940520446095</v>
      </c>
      <c r="H68" s="163">
        <f t="shared" ref="H68:M83" si="10">H67*(1+B68)</f>
        <v>4771.1976750535359</v>
      </c>
      <c r="I68" s="163">
        <f t="shared" si="10"/>
        <v>344.80247002332891</v>
      </c>
      <c r="J68" s="163">
        <f t="shared" si="10"/>
        <v>462.49733090970153</v>
      </c>
      <c r="K68" s="163">
        <f t="shared" si="10"/>
        <v>1179.9573089023015</v>
      </c>
      <c r="L68" s="163">
        <f t="shared" si="10"/>
        <v>562.46134658997278</v>
      </c>
      <c r="M68" s="163">
        <f t="shared" si="10"/>
        <v>799.17635658914719</v>
      </c>
      <c r="N68" s="162">
        <f t="shared" si="1"/>
        <v>-0.12240667931356919</v>
      </c>
      <c r="O68" s="162">
        <f t="shared" si="2"/>
        <v>-8.2696646830422771E-2</v>
      </c>
      <c r="P68" s="164">
        <f t="shared" si="3"/>
        <v>-0.16934366928025871</v>
      </c>
      <c r="Q68" s="164">
        <f t="shared" si="7"/>
        <v>4.9266761357046551E-2</v>
      </c>
      <c r="R68" s="166">
        <v>6.7010300000000009E-2</v>
      </c>
      <c r="S68" s="168">
        <f t="shared" si="8"/>
        <v>-0.12821557651257187</v>
      </c>
      <c r="T68" s="168">
        <f t="shared" si="8"/>
        <v>-1.3496272196981574E-2</v>
      </c>
      <c r="U68" s="168">
        <f t="shared" si="8"/>
        <v>-5.0712438229443046E-2</v>
      </c>
      <c r="V68" s="168">
        <f t="shared" si="8"/>
        <v>3.0492984482817453E-2</v>
      </c>
      <c r="W68" s="168">
        <f t="shared" si="8"/>
        <v>7.4542966458006399E-2</v>
      </c>
      <c r="X68" s="168">
        <f t="shared" si="8"/>
        <v>0.1493741457271871</v>
      </c>
    </row>
    <row r="69" spans="1:24">
      <c r="A69" s="161">
        <v>1978</v>
      </c>
      <c r="B69" s="162">
        <v>6.50928391167193E-2</v>
      </c>
      <c r="C69" s="162">
        <v>7.1783064516129036E-2</v>
      </c>
      <c r="D69" s="162">
        <v>-7.7758069075086478E-3</v>
      </c>
      <c r="E69" s="162">
        <v>3.1375849771690861E-2</v>
      </c>
      <c r="F69" s="162">
        <v>0.15723596053112443</v>
      </c>
      <c r="G69" s="162">
        <v>0.37011215519854512</v>
      </c>
      <c r="H69" s="163">
        <f t="shared" si="10"/>
        <v>5081.7684777098611</v>
      </c>
      <c r="I69" s="163">
        <f t="shared" si="10"/>
        <v>369.55344797433418</v>
      </c>
      <c r="J69" s="163">
        <f t="shared" si="10"/>
        <v>458.90104096930958</v>
      </c>
      <c r="K69" s="163">
        <f t="shared" si="10"/>
        <v>1216.9794721634289</v>
      </c>
      <c r="L69" s="163">
        <f t="shared" si="10"/>
        <v>650.90049668267682</v>
      </c>
      <c r="M69" s="163">
        <f t="shared" si="10"/>
        <v>1094.9612403100775</v>
      </c>
      <c r="N69" s="162">
        <f t="shared" si="1"/>
        <v>-6.6902253994097355E-3</v>
      </c>
      <c r="O69" s="162">
        <f t="shared" si="2"/>
        <v>7.2868646024227948E-2</v>
      </c>
      <c r="P69" s="164">
        <f t="shared" si="3"/>
        <v>3.3716989345028439E-2</v>
      </c>
      <c r="Q69" s="164">
        <f t="shared" si="7"/>
        <v>4.9741898913203242E-2</v>
      </c>
      <c r="R69" s="166">
        <v>9.0177099999999996E-2</v>
      </c>
      <c r="S69" s="168">
        <f t="shared" si="8"/>
        <v>-2.3009344888349492E-2</v>
      </c>
      <c r="T69" s="168">
        <f t="shared" si="8"/>
        <v>-1.6872520514209066E-2</v>
      </c>
      <c r="U69" s="168">
        <f t="shared" si="8"/>
        <v>-8.9850453570808564E-2</v>
      </c>
      <c r="V69" s="168">
        <f t="shared" si="8"/>
        <v>-5.3937337546632658E-2</v>
      </c>
      <c r="W69" s="168">
        <f t="shared" si="8"/>
        <v>6.1511896123230381E-2</v>
      </c>
      <c r="X69" s="168">
        <f t="shared" si="8"/>
        <v>0.25677943079023136</v>
      </c>
    </row>
    <row r="70" spans="1:24">
      <c r="A70" s="161">
        <v>1979</v>
      </c>
      <c r="B70" s="162">
        <v>0.18519490167516386</v>
      </c>
      <c r="C70" s="162">
        <v>0.10054274193548388</v>
      </c>
      <c r="D70" s="162">
        <v>6.7072031247235459E-3</v>
      </c>
      <c r="E70" s="162">
        <v>-2.0091101436615355E-2</v>
      </c>
      <c r="F70" s="162">
        <v>0.13742466907023854</v>
      </c>
      <c r="G70" s="162">
        <v>1.2654867256637168</v>
      </c>
      <c r="H70" s="163">
        <f t="shared" si="10"/>
        <v>6022.8860912752862</v>
      </c>
      <c r="I70" s="163">
        <f t="shared" si="10"/>
        <v>406.7093649253859</v>
      </c>
      <c r="J70" s="163">
        <f t="shared" si="10"/>
        <v>461.97898346523777</v>
      </c>
      <c r="K70" s="163">
        <f t="shared" si="10"/>
        <v>1192.5290141419148</v>
      </c>
      <c r="L70" s="163">
        <f t="shared" si="10"/>
        <v>740.35028203694753</v>
      </c>
      <c r="M70" s="163">
        <f t="shared" si="10"/>
        <v>2480.6201550387595</v>
      </c>
      <c r="N70" s="162">
        <f t="shared" si="1"/>
        <v>8.4652159739679989E-2</v>
      </c>
      <c r="O70" s="162">
        <f t="shared" si="2"/>
        <v>0.17848769855044033</v>
      </c>
      <c r="P70" s="164">
        <f t="shared" si="3"/>
        <v>0.20528600311177922</v>
      </c>
      <c r="Q70" s="164">
        <f t="shared" si="7"/>
        <v>5.2132252828986925E-2</v>
      </c>
      <c r="R70" s="166">
        <v>0.13293939999999999</v>
      </c>
      <c r="S70" s="168">
        <f t="shared" si="8"/>
        <v>4.6123827695606634E-2</v>
      </c>
      <c r="T70" s="168">
        <f t="shared" si="8"/>
        <v>-2.8595225891619669E-2</v>
      </c>
      <c r="U70" s="168">
        <f t="shared" si="8"/>
        <v>-0.111420078492527</v>
      </c>
      <c r="V70" s="168">
        <f t="shared" si="8"/>
        <v>-0.13507386311802316</v>
      </c>
      <c r="W70" s="168">
        <f t="shared" si="8"/>
        <v>3.9589664462535978E-3</v>
      </c>
      <c r="X70" s="168">
        <f t="shared" si="8"/>
        <v>0.99965393176697437</v>
      </c>
    </row>
    <row r="71" spans="1:24">
      <c r="A71" s="161">
        <v>1980</v>
      </c>
      <c r="B71" s="162">
        <v>0.3173524550676301</v>
      </c>
      <c r="C71" s="162">
        <v>0.1139188</v>
      </c>
      <c r="D71" s="162">
        <v>-2.989744251999403E-2</v>
      </c>
      <c r="E71" s="162">
        <v>-3.3156783371910456E-2</v>
      </c>
      <c r="F71" s="162">
        <v>7.3968672635987165E-2</v>
      </c>
      <c r="G71" s="162">
        <v>0.15185546875</v>
      </c>
      <c r="H71" s="163">
        <f t="shared" si="10"/>
        <v>7934.2637789341807</v>
      </c>
      <c r="I71" s="163">
        <f t="shared" si="10"/>
        <v>453.04120772644796</v>
      </c>
      <c r="J71" s="163">
        <f t="shared" si="10"/>
        <v>448.16699336164055</v>
      </c>
      <c r="K71" s="163">
        <f t="shared" si="10"/>
        <v>1152.9885879552935</v>
      </c>
      <c r="L71" s="163">
        <f t="shared" si="10"/>
        <v>795.11300968489923</v>
      </c>
      <c r="M71" s="163">
        <f t="shared" si="10"/>
        <v>2857.3158914728679</v>
      </c>
      <c r="N71" s="162">
        <f t="shared" si="1"/>
        <v>0.20343365506763011</v>
      </c>
      <c r="O71" s="162">
        <f t="shared" si="2"/>
        <v>0.34724989758762415</v>
      </c>
      <c r="P71" s="164">
        <f t="shared" si="3"/>
        <v>0.35050923843954057</v>
      </c>
      <c r="Q71" s="164">
        <f t="shared" si="7"/>
        <v>5.7318705257589642E-2</v>
      </c>
      <c r="R71" s="166">
        <v>0.125163</v>
      </c>
      <c r="S71" s="168">
        <f t="shared" si="8"/>
        <v>0.17081032265336682</v>
      </c>
      <c r="T71" s="168">
        <f t="shared" si="8"/>
        <v>-9.993396512327446E-3</v>
      </c>
      <c r="U71" s="168">
        <f t="shared" si="8"/>
        <v>-0.13781153710173011</v>
      </c>
      <c r="V71" s="168">
        <f t="shared" si="8"/>
        <v>-0.14070830926000089</v>
      </c>
      <c r="W71" s="168">
        <f t="shared" si="8"/>
        <v>-4.5499476399430749E-2</v>
      </c>
      <c r="X71" s="168">
        <f t="shared" si="8"/>
        <v>2.3723201660559523E-2</v>
      </c>
    </row>
    <row r="72" spans="1:24">
      <c r="A72" s="161">
        <v>1981</v>
      </c>
      <c r="B72" s="162">
        <v>-4.7023902474955762E-2</v>
      </c>
      <c r="C72" s="162">
        <v>0.14036184738955823</v>
      </c>
      <c r="D72" s="162">
        <v>8.1992153358923542E-2</v>
      </c>
      <c r="E72" s="162">
        <v>8.4623994808912056E-2</v>
      </c>
      <c r="F72" s="162">
        <v>5.0950062475763724E-2</v>
      </c>
      <c r="G72" s="162">
        <v>-0.32598558711318359</v>
      </c>
      <c r="H72" s="163">
        <f t="shared" si="10"/>
        <v>7561.1637327830058</v>
      </c>
      <c r="I72" s="163">
        <f t="shared" si="10"/>
        <v>516.63090858652879</v>
      </c>
      <c r="J72" s="163">
        <f t="shared" si="10"/>
        <v>484.91317021175587</v>
      </c>
      <c r="K72" s="163">
        <f t="shared" si="10"/>
        <v>1250.5590882371571</v>
      </c>
      <c r="L72" s="163">
        <f t="shared" si="10"/>
        <v>835.62406720363742</v>
      </c>
      <c r="M72" s="163">
        <f t="shared" si="10"/>
        <v>1925.8720930232555</v>
      </c>
      <c r="N72" s="162">
        <f t="shared" si="1"/>
        <v>-0.18738574986451401</v>
      </c>
      <c r="O72" s="162">
        <f t="shared" si="2"/>
        <v>-0.12901605583387932</v>
      </c>
      <c r="P72" s="164">
        <f t="shared" si="3"/>
        <v>-0.13164789728386783</v>
      </c>
      <c r="Q72" s="164">
        <f t="shared" si="7"/>
        <v>5.3730990468644491E-2</v>
      </c>
      <c r="R72" s="166">
        <v>8.92236E-2</v>
      </c>
      <c r="S72" s="168">
        <f t="shared" si="8"/>
        <v>-0.12508680722209453</v>
      </c>
      <c r="T72" s="168">
        <f t="shared" si="8"/>
        <v>4.694926495308982E-2</v>
      </c>
      <c r="U72" s="168">
        <f t="shared" si="8"/>
        <v>-6.63908369326216E-3</v>
      </c>
      <c r="V72" s="168">
        <f t="shared" si="8"/>
        <v>-4.2228291703263476E-3</v>
      </c>
      <c r="W72" s="168">
        <f t="shared" si="8"/>
        <v>-3.513836601064857E-2</v>
      </c>
      <c r="X72" s="168">
        <f t="shared" si="8"/>
        <v>-0.38119738418556448</v>
      </c>
    </row>
    <row r="73" spans="1:24">
      <c r="A73" s="161">
        <v>1982</v>
      </c>
      <c r="B73" s="162">
        <v>0.20419055079559353</v>
      </c>
      <c r="C73" s="162">
        <v>0.10603413654618475</v>
      </c>
      <c r="D73" s="162">
        <v>0.32814549486295586</v>
      </c>
      <c r="E73" s="162">
        <v>0.2905245565590866</v>
      </c>
      <c r="F73" s="162">
        <v>5.6372096837011831E-3</v>
      </c>
      <c r="G73" s="162">
        <v>0.15622641509433977</v>
      </c>
      <c r="H73" s="163">
        <f t="shared" si="10"/>
        <v>9105.0819200356327</v>
      </c>
      <c r="I73" s="163">
        <f t="shared" si="10"/>
        <v>571.41142089157233</v>
      </c>
      <c r="J73" s="163">
        <f t="shared" si="10"/>
        <v>644.03524241645721</v>
      </c>
      <c r="K73" s="163">
        <f t="shared" si="10"/>
        <v>1613.8772127981929</v>
      </c>
      <c r="L73" s="163">
        <f t="shared" si="10"/>
        <v>840.33465528721149</v>
      </c>
      <c r="M73" s="163">
        <f t="shared" si="10"/>
        <v>2226.7441860465115</v>
      </c>
      <c r="N73" s="162">
        <f t="shared" si="1"/>
        <v>9.8156414249408783E-2</v>
      </c>
      <c r="O73" s="162">
        <f t="shared" si="2"/>
        <v>-0.12395494406736232</v>
      </c>
      <c r="P73" s="164">
        <f t="shared" si="3"/>
        <v>-8.6334005763493066E-2</v>
      </c>
      <c r="Q73" s="164">
        <f t="shared" si="7"/>
        <v>5.1038688692139678E-2</v>
      </c>
      <c r="R73" s="166">
        <v>3.8297900000000003E-2</v>
      </c>
      <c r="S73" s="168">
        <f t="shared" si="8"/>
        <v>0.15977365532145771</v>
      </c>
      <c r="T73" s="168">
        <f t="shared" si="8"/>
        <v>6.5237767066835595E-2</v>
      </c>
      <c r="U73" s="168">
        <f t="shared" si="8"/>
        <v>0.27915648761589118</v>
      </c>
      <c r="V73" s="168">
        <f t="shared" si="8"/>
        <v>0.24292320783764132</v>
      </c>
      <c r="W73" s="168">
        <f t="shared" si="8"/>
        <v>-3.1455991884697942E-2</v>
      </c>
      <c r="X73" s="168">
        <f t="shared" si="8"/>
        <v>0.11357868979060792</v>
      </c>
    </row>
    <row r="74" spans="1:24">
      <c r="A74" s="161">
        <v>1983</v>
      </c>
      <c r="B74" s="162">
        <v>0.22337155858930619</v>
      </c>
      <c r="C74" s="162">
        <v>8.61764E-2</v>
      </c>
      <c r="D74" s="162">
        <v>3.2002094451429264E-2</v>
      </c>
      <c r="E74" s="162">
        <v>0.16194289622798366</v>
      </c>
      <c r="F74" s="162">
        <v>4.7494802071017972E-2</v>
      </c>
      <c r="G74" s="162">
        <v>-0.16797214969538743</v>
      </c>
      <c r="H74" s="163">
        <f t="shared" si="10"/>
        <v>11138.898259597305</v>
      </c>
      <c r="I74" s="163">
        <f t="shared" si="10"/>
        <v>620.65360006289291</v>
      </c>
      <c r="J74" s="163">
        <f t="shared" si="10"/>
        <v>664.64571907431775</v>
      </c>
      <c r="K74" s="163">
        <f t="shared" si="10"/>
        <v>1875.233162795078</v>
      </c>
      <c r="L74" s="163">
        <f t="shared" si="10"/>
        <v>880.24618341349469</v>
      </c>
      <c r="M74" s="163">
        <f t="shared" si="10"/>
        <v>1852.7131782945733</v>
      </c>
      <c r="N74" s="162">
        <f t="shared" si="1"/>
        <v>0.1371951585893062</v>
      </c>
      <c r="O74" s="162">
        <f t="shared" si="2"/>
        <v>0.19136946413787692</v>
      </c>
      <c r="P74" s="164">
        <f t="shared" si="3"/>
        <v>6.1428662361322522E-2</v>
      </c>
      <c r="Q74" s="164">
        <f t="shared" si="7"/>
        <v>5.3402830654563971E-2</v>
      </c>
      <c r="R74" s="166">
        <v>3.79098E-2</v>
      </c>
      <c r="S74" s="168">
        <f t="shared" si="8"/>
        <v>0.17868774202662507</v>
      </c>
      <c r="T74" s="168">
        <f t="shared" si="8"/>
        <v>4.6503655712664127E-2</v>
      </c>
      <c r="U74" s="168">
        <f t="shared" si="8"/>
        <v>-5.6919257806129497E-3</v>
      </c>
      <c r="V74" s="168">
        <f t="shared" si="8"/>
        <v>0.11950277011353361</v>
      </c>
      <c r="W74" s="168">
        <f t="shared" si="8"/>
        <v>9.2349085354217486E-3</v>
      </c>
      <c r="X74" s="168">
        <f t="shared" si="8"/>
        <v>-0.19836208280853251</v>
      </c>
    </row>
    <row r="75" spans="1:24">
      <c r="A75" s="161">
        <v>1984</v>
      </c>
      <c r="B75" s="162">
        <v>6.14614199963621E-2</v>
      </c>
      <c r="C75" s="162">
        <v>9.5402811244979929E-2</v>
      </c>
      <c r="D75" s="162">
        <v>0.13733364344102345</v>
      </c>
      <c r="E75" s="162">
        <v>0.15619207332454216</v>
      </c>
      <c r="F75" s="162">
        <v>4.6781349731454869E-2</v>
      </c>
      <c r="G75" s="162">
        <v>-0.193776150627615</v>
      </c>
      <c r="H75" s="163">
        <f t="shared" si="10"/>
        <v>11823.510763827162</v>
      </c>
      <c r="I75" s="163">
        <f t="shared" si="10"/>
        <v>679.86569831821032</v>
      </c>
      <c r="J75" s="163">
        <f t="shared" si="10"/>
        <v>755.92393727227272</v>
      </c>
      <c r="K75" s="163">
        <f t="shared" si="10"/>
        <v>2168.1297184589798</v>
      </c>
      <c r="L75" s="163">
        <f t="shared" si="10"/>
        <v>921.4252879695398</v>
      </c>
      <c r="M75" s="163">
        <f t="shared" si="10"/>
        <v>1493.7015503875966</v>
      </c>
      <c r="N75" s="162">
        <f t="shared" si="1"/>
        <v>-3.3941391248617829E-2</v>
      </c>
      <c r="O75" s="162">
        <f t="shared" si="2"/>
        <v>-7.5872223444661352E-2</v>
      </c>
      <c r="P75" s="164">
        <f t="shared" si="3"/>
        <v>-9.4730653328180064E-2</v>
      </c>
      <c r="Q75" s="164">
        <f t="shared" si="7"/>
        <v>5.1212126318051387E-2</v>
      </c>
      <c r="R75" s="166">
        <v>3.94867E-2</v>
      </c>
      <c r="S75" s="168">
        <f t="shared" si="8"/>
        <v>2.1139972253961581E-2</v>
      </c>
      <c r="T75" s="168">
        <f t="shared" si="8"/>
        <v>5.3792041057360018E-2</v>
      </c>
      <c r="U75" s="168">
        <f t="shared" si="8"/>
        <v>9.4130058076763667E-2</v>
      </c>
      <c r="V75" s="168">
        <f t="shared" si="8"/>
        <v>0.11227211788716684</v>
      </c>
      <c r="W75" s="168">
        <f t="shared" si="8"/>
        <v>7.0175498459525976E-3</v>
      </c>
      <c r="X75" s="168">
        <f t="shared" si="8"/>
        <v>-0.22440195783901329</v>
      </c>
    </row>
    <row r="76" spans="1:24">
      <c r="A76" s="161">
        <v>1985</v>
      </c>
      <c r="B76" s="162">
        <v>0.31235149485768948</v>
      </c>
      <c r="C76" s="162">
        <v>7.4711290322580642E-2</v>
      </c>
      <c r="D76" s="162">
        <v>0.2571248821260641</v>
      </c>
      <c r="E76" s="162">
        <v>0.23862641849916477</v>
      </c>
      <c r="F76" s="162">
        <v>7.4713712076145189E-2</v>
      </c>
      <c r="G76" s="162">
        <v>6.0006487187804103E-2</v>
      </c>
      <c r="H76" s="163">
        <f t="shared" si="10"/>
        <v>15516.602025374559</v>
      </c>
      <c r="I76" s="163">
        <f t="shared" si="10"/>
        <v>730.65934188562619</v>
      </c>
      <c r="J76" s="163">
        <f t="shared" si="10"/>
        <v>950.2907905396761</v>
      </c>
      <c r="K76" s="163">
        <f t="shared" si="10"/>
        <v>2685.5027480164485</v>
      </c>
      <c r="L76" s="163">
        <f t="shared" si="10"/>
        <v>990.26839163457521</v>
      </c>
      <c r="M76" s="163">
        <f t="shared" si="10"/>
        <v>1583.333333333333</v>
      </c>
      <c r="N76" s="162">
        <f t="shared" si="1"/>
        <v>0.23764020453510884</v>
      </c>
      <c r="O76" s="162">
        <f t="shared" si="2"/>
        <v>5.522661273162538E-2</v>
      </c>
      <c r="P76" s="164">
        <f t="shared" si="3"/>
        <v>7.372507635852471E-2</v>
      </c>
      <c r="Q76" s="164">
        <f t="shared" si="7"/>
        <v>5.1284365102581608E-2</v>
      </c>
      <c r="R76" s="166">
        <v>3.7986699999999998E-2</v>
      </c>
      <c r="S76" s="168">
        <f t="shared" si="8"/>
        <v>0.26432399842665566</v>
      </c>
      <c r="T76" s="168">
        <f t="shared" si="8"/>
        <v>3.5380598154658882E-2</v>
      </c>
      <c r="U76" s="168">
        <f t="shared" si="8"/>
        <v>0.21111848747779138</v>
      </c>
      <c r="V76" s="168">
        <f t="shared" si="8"/>
        <v>0.19329700322669319</v>
      </c>
      <c r="W76" s="168">
        <f t="shared" si="8"/>
        <v>3.5382931280473207E-2</v>
      </c>
      <c r="X76" s="168">
        <f t="shared" si="8"/>
        <v>2.12139396273614E-2</v>
      </c>
    </row>
    <row r="77" spans="1:24">
      <c r="A77" s="161">
        <v>1986</v>
      </c>
      <c r="B77" s="162">
        <v>0.18494578758046187</v>
      </c>
      <c r="C77" s="162">
        <v>5.9692800000000004E-2</v>
      </c>
      <c r="D77" s="162">
        <v>0.24284215141767618</v>
      </c>
      <c r="E77" s="162">
        <v>0.21485515309759495</v>
      </c>
      <c r="F77" s="162">
        <v>9.6123575098164826E-2</v>
      </c>
      <c r="G77" s="162">
        <v>0.18956548347613222</v>
      </c>
      <c r="H77" s="163">
        <f t="shared" si="10"/>
        <v>18386.332207530046</v>
      </c>
      <c r="I77" s="163">
        <f t="shared" si="10"/>
        <v>774.27444384893658</v>
      </c>
      <c r="J77" s="163">
        <f t="shared" si="10"/>
        <v>1181.0614505867354</v>
      </c>
      <c r="K77" s="163">
        <f t="shared" si="10"/>
        <v>3262.496852085535</v>
      </c>
      <c r="L77" s="163">
        <f t="shared" si="10"/>
        <v>1085.4565297452002</v>
      </c>
      <c r="M77" s="163">
        <f t="shared" si="10"/>
        <v>1883.4786821705422</v>
      </c>
      <c r="N77" s="162">
        <f t="shared" si="1"/>
        <v>0.12525298758046188</v>
      </c>
      <c r="O77" s="162">
        <f t="shared" si="2"/>
        <v>-5.7896363837214304E-2</v>
      </c>
      <c r="P77" s="164">
        <f t="shared" si="3"/>
        <v>-2.990936551713308E-2</v>
      </c>
      <c r="Q77" s="164">
        <f t="shared" si="7"/>
        <v>4.9663565599739057E-2</v>
      </c>
      <c r="R77" s="166">
        <v>1.0979000000000001E-2</v>
      </c>
      <c r="S77" s="168">
        <f t="shared" si="8"/>
        <v>0.17207754817900445</v>
      </c>
      <c r="T77" s="168">
        <f t="shared" si="8"/>
        <v>4.818477930797771E-2</v>
      </c>
      <c r="U77" s="168">
        <f t="shared" si="8"/>
        <v>0.22934517078759908</v>
      </c>
      <c r="V77" s="168">
        <f t="shared" si="8"/>
        <v>0.2016621048484637</v>
      </c>
      <c r="W77" s="168">
        <f t="shared" si="8"/>
        <v>8.4219924546568015E-2</v>
      </c>
      <c r="X77" s="168">
        <f t="shared" si="8"/>
        <v>0.17664707523710388</v>
      </c>
    </row>
    <row r="78" spans="1:24">
      <c r="A78" s="161">
        <v>1987</v>
      </c>
      <c r="B78" s="162">
        <v>5.8127216418218712E-2</v>
      </c>
      <c r="C78" s="162">
        <v>5.7773600000000001E-2</v>
      </c>
      <c r="D78" s="162">
        <v>-4.9605089379262279E-2</v>
      </c>
      <c r="E78" s="162">
        <v>2.289846084276681E-2</v>
      </c>
      <c r="F78" s="162">
        <v>7.8762151243529699E-2</v>
      </c>
      <c r="G78" s="162">
        <v>0.24527331189710622</v>
      </c>
      <c r="H78" s="163">
        <f t="shared" si="10"/>
        <v>19455.07851889441</v>
      </c>
      <c r="I78" s="163">
        <f t="shared" si="10"/>
        <v>819.00706585808746</v>
      </c>
      <c r="J78" s="163">
        <f t="shared" si="10"/>
        <v>1122.4747917679792</v>
      </c>
      <c r="K78" s="163">
        <f t="shared" si="10"/>
        <v>3337.2030085026654</v>
      </c>
      <c r="L78" s="163">
        <f t="shared" si="10"/>
        <v>1170.9494211092685</v>
      </c>
      <c r="M78" s="163">
        <f t="shared" si="10"/>
        <v>2345.4457364341083</v>
      </c>
      <c r="N78" s="162">
        <f t="shared" si="1"/>
        <v>3.536164182187107E-4</v>
      </c>
      <c r="O78" s="162">
        <f t="shared" si="2"/>
        <v>0.107732305797481</v>
      </c>
      <c r="P78" s="164">
        <f t="shared" si="3"/>
        <v>3.5228755575451902E-2</v>
      </c>
      <c r="Q78" s="164">
        <f t="shared" si="7"/>
        <v>5.0693590437507208E-2</v>
      </c>
      <c r="R78" s="166">
        <v>4.4343899999999999E-2</v>
      </c>
      <c r="S78" s="168">
        <f t="shared" si="8"/>
        <v>1.3198062839471447E-2</v>
      </c>
      <c r="T78" s="168">
        <f t="shared" si="8"/>
        <v>1.2859461332612732E-2</v>
      </c>
      <c r="U78" s="168">
        <f t="shared" si="8"/>
        <v>-8.9959820112189504E-2</v>
      </c>
      <c r="V78" s="168">
        <f t="shared" si="8"/>
        <v>-2.0534844084629023E-2</v>
      </c>
      <c r="W78" s="168">
        <f t="shared" si="8"/>
        <v>3.2956817427218787E-2</v>
      </c>
      <c r="X78" s="168">
        <f t="shared" si="8"/>
        <v>0.1923977455099859</v>
      </c>
    </row>
    <row r="79" spans="1:24">
      <c r="A79" s="161">
        <v>1988</v>
      </c>
      <c r="B79" s="162">
        <v>0.16537192812044688</v>
      </c>
      <c r="C79" s="162">
        <v>6.6684400000000005E-2</v>
      </c>
      <c r="D79" s="162">
        <v>8.2235958434841674E-2</v>
      </c>
      <c r="E79" s="162">
        <v>0.15115070067120029</v>
      </c>
      <c r="F79" s="162">
        <v>7.210462411679508E-2</v>
      </c>
      <c r="G79" s="162">
        <v>-0.15255112580045449</v>
      </c>
      <c r="H79" s="163">
        <f t="shared" si="10"/>
        <v>22672.402365298665</v>
      </c>
      <c r="I79" s="163">
        <f t="shared" si="10"/>
        <v>873.62206064059444</v>
      </c>
      <c r="J79" s="163">
        <f t="shared" si="10"/>
        <v>1214.7825820879684</v>
      </c>
      <c r="K79" s="163">
        <f t="shared" si="10"/>
        <v>3841.6235815198806</v>
      </c>
      <c r="L79" s="163">
        <f t="shared" si="10"/>
        <v>1255.3802889781311</v>
      </c>
      <c r="M79" s="163">
        <f t="shared" si="10"/>
        <v>1987.645348837209</v>
      </c>
      <c r="N79" s="162">
        <f t="shared" si="1"/>
        <v>9.8687528120446871E-2</v>
      </c>
      <c r="O79" s="162">
        <f t="shared" si="2"/>
        <v>8.3135969685605202E-2</v>
      </c>
      <c r="P79" s="164">
        <f t="shared" si="3"/>
        <v>1.4221227449246587E-2</v>
      </c>
      <c r="Q79" s="164">
        <f t="shared" si="7"/>
        <v>5.1199933578993884E-2</v>
      </c>
      <c r="R79" s="166">
        <v>4.41941E-2</v>
      </c>
      <c r="S79" s="168">
        <f t="shared" si="8"/>
        <v>0.11604914078756723</v>
      </c>
      <c r="T79" s="168">
        <f t="shared" si="8"/>
        <v>2.1538428535460952E-2</v>
      </c>
      <c r="U79" s="168">
        <f t="shared" si="8"/>
        <v>3.6431788337859761E-2</v>
      </c>
      <c r="V79" s="168">
        <f t="shared" si="8"/>
        <v>0.10242980751490594</v>
      </c>
      <c r="W79" s="168">
        <f t="shared" si="8"/>
        <v>2.672924901299023E-2</v>
      </c>
      <c r="X79" s="168">
        <f t="shared" si="8"/>
        <v>-0.18841825078350316</v>
      </c>
    </row>
    <row r="80" spans="1:24">
      <c r="A80" s="161">
        <v>1989</v>
      </c>
      <c r="B80" s="162">
        <v>0.31475183638196724</v>
      </c>
      <c r="C80" s="162">
        <v>8.111560000000001E-2</v>
      </c>
      <c r="D80" s="162">
        <v>0.17693647159446219</v>
      </c>
      <c r="E80" s="162">
        <v>0.15789666531437313</v>
      </c>
      <c r="F80" s="162">
        <v>4.3813448313502867E-2</v>
      </c>
      <c r="G80" s="162">
        <v>-2.8397318708104802E-2</v>
      </c>
      <c r="H80" s="163">
        <f t="shared" si="10"/>
        <v>29808.582644967279</v>
      </c>
      <c r="I80" s="163">
        <f t="shared" si="10"/>
        <v>944.48643826269256</v>
      </c>
      <c r="J80" s="163">
        <f t="shared" si="10"/>
        <v>1429.7219259170236</v>
      </c>
      <c r="K80" s="163">
        <f t="shared" si="10"/>
        <v>4448.2031344349289</v>
      </c>
      <c r="L80" s="163">
        <f t="shared" si="10"/>
        <v>1310.3828283830649</v>
      </c>
      <c r="M80" s="163">
        <f t="shared" si="10"/>
        <v>1931.2015503875966</v>
      </c>
      <c r="N80" s="162">
        <f t="shared" si="1"/>
        <v>0.23363623638196723</v>
      </c>
      <c r="O80" s="162">
        <f t="shared" si="2"/>
        <v>0.13781536478750506</v>
      </c>
      <c r="P80" s="164">
        <f t="shared" si="3"/>
        <v>0.15685517106759411</v>
      </c>
      <c r="Q80" s="164">
        <f t="shared" si="7"/>
        <v>5.240982169336883E-2</v>
      </c>
      <c r="R80" s="166">
        <v>4.6473000000000007E-2</v>
      </c>
      <c r="S80" s="168">
        <f t="shared" si="8"/>
        <v>0.25636479525221123</v>
      </c>
      <c r="T80" s="168">
        <f t="shared" si="8"/>
        <v>3.3104150799877274E-2</v>
      </c>
      <c r="U80" s="168">
        <f t="shared" si="8"/>
        <v>0.12466969677618267</v>
      </c>
      <c r="V80" s="168">
        <f t="shared" si="8"/>
        <v>0.10647543253803327</v>
      </c>
      <c r="W80" s="168">
        <f t="shared" si="8"/>
        <v>-2.5414431968117102E-3</v>
      </c>
      <c r="X80" s="168">
        <f t="shared" si="8"/>
        <v>-7.1545389807577298E-2</v>
      </c>
    </row>
    <row r="81" spans="1:24">
      <c r="A81" s="161">
        <v>1990</v>
      </c>
      <c r="B81" s="162">
        <v>-3.0644516129032118E-2</v>
      </c>
      <c r="C81" s="162">
        <v>7.4964799999999998E-2</v>
      </c>
      <c r="D81" s="162">
        <v>6.2353753335533363E-2</v>
      </c>
      <c r="E81" s="162">
        <v>6.1400628860817041E-2</v>
      </c>
      <c r="F81" s="162">
        <v>-6.9151230735041702E-3</v>
      </c>
      <c r="G81" s="162">
        <v>-3.1108881083793394E-2</v>
      </c>
      <c r="H81" s="163">
        <f t="shared" si="10"/>
        <v>28895.113053319994</v>
      </c>
      <c r="I81" s="163">
        <f t="shared" si="10"/>
        <v>1015.2896752097677</v>
      </c>
      <c r="J81" s="163">
        <f t="shared" si="10"/>
        <v>1518.8704542240573</v>
      </c>
      <c r="K81" s="163">
        <f t="shared" si="10"/>
        <v>4721.3256041898912</v>
      </c>
      <c r="L81" s="163">
        <f t="shared" si="10"/>
        <v>1301.3213698513894</v>
      </c>
      <c r="M81" s="163">
        <f t="shared" si="10"/>
        <v>1871.1240310077515</v>
      </c>
      <c r="N81" s="162">
        <f t="shared" si="1"/>
        <v>-0.10560931612903211</v>
      </c>
      <c r="O81" s="162">
        <f t="shared" si="2"/>
        <v>-9.2998269464565478E-2</v>
      </c>
      <c r="P81" s="164">
        <f t="shared" si="3"/>
        <v>-9.2045144989849156E-2</v>
      </c>
      <c r="Q81" s="164">
        <f t="shared" si="7"/>
        <v>4.9979953137364364E-2</v>
      </c>
      <c r="R81" s="166">
        <v>6.1062599999999995E-2</v>
      </c>
      <c r="S81" s="168">
        <f t="shared" si="8"/>
        <v>-8.6429505788849892E-2</v>
      </c>
      <c r="T81" s="168">
        <f t="shared" si="8"/>
        <v>1.3102148732789143E-2</v>
      </c>
      <c r="U81" s="168">
        <f t="shared" si="8"/>
        <v>1.2168493503901257E-3</v>
      </c>
      <c r="V81" s="168">
        <f t="shared" si="8"/>
        <v>3.185757945072254E-4</v>
      </c>
      <c r="W81" s="168">
        <f t="shared" si="8"/>
        <v>-6.4065704580958949E-2</v>
      </c>
      <c r="X81" s="168">
        <f t="shared" si="8"/>
        <v>-8.6867147219959917E-2</v>
      </c>
    </row>
    <row r="82" spans="1:24">
      <c r="A82" s="161">
        <v>1991</v>
      </c>
      <c r="B82" s="162">
        <v>0.30234843134879757</v>
      </c>
      <c r="C82" s="162">
        <v>5.3756000000000005E-2</v>
      </c>
      <c r="D82" s="162">
        <v>0.15004510019517303</v>
      </c>
      <c r="E82" s="162">
        <v>0.17853487146763175</v>
      </c>
      <c r="F82" s="162">
        <v>-1.579570883243453E-3</v>
      </c>
      <c r="G82" s="162">
        <v>-8.5577421025375466E-2</v>
      </c>
      <c r="H82" s="163">
        <f t="shared" si="10"/>
        <v>37631.505158637461</v>
      </c>
      <c r="I82" s="163">
        <f t="shared" si="10"/>
        <v>1069.8675869903439</v>
      </c>
      <c r="J82" s="163">
        <f t="shared" si="10"/>
        <v>1746.769523711594</v>
      </c>
      <c r="K82" s="163">
        <f t="shared" si="10"/>
        <v>5564.2468640907728</v>
      </c>
      <c r="L82" s="163">
        <f t="shared" si="10"/>
        <v>1299.2658405058296</v>
      </c>
      <c r="M82" s="163">
        <f t="shared" si="10"/>
        <v>1710.9980620155034</v>
      </c>
      <c r="N82" s="162">
        <f t="shared" si="1"/>
        <v>0.24859243134879758</v>
      </c>
      <c r="O82" s="162">
        <f t="shared" si="2"/>
        <v>0.15230333115362454</v>
      </c>
      <c r="P82" s="164">
        <f t="shared" si="3"/>
        <v>0.12381355988116582</v>
      </c>
      <c r="Q82" s="164">
        <f t="shared" si="7"/>
        <v>5.13850639844049E-2</v>
      </c>
      <c r="R82" s="166">
        <v>3.0642800000000001E-2</v>
      </c>
      <c r="S82" s="168">
        <f t="shared" si="8"/>
        <v>0.26362735115288971</v>
      </c>
      <c r="T82" s="168">
        <f t="shared" si="8"/>
        <v>2.2426004431409075E-2</v>
      </c>
      <c r="U82" s="168">
        <f t="shared" si="8"/>
        <v>0.11585226248625902</v>
      </c>
      <c r="V82" s="168">
        <f t="shared" si="8"/>
        <v>0.14349498339059052</v>
      </c>
      <c r="W82" s="168">
        <f t="shared" si="8"/>
        <v>-3.1264343847590581E-2</v>
      </c>
      <c r="X82" s="168">
        <f t="shared" si="8"/>
        <v>-0.11276479205538092</v>
      </c>
    </row>
    <row r="83" spans="1:24">
      <c r="A83" s="161">
        <v>1992</v>
      </c>
      <c r="B83" s="162">
        <v>7.493727972380064E-2</v>
      </c>
      <c r="C83" s="162">
        <v>3.4313147410358569E-2</v>
      </c>
      <c r="D83" s="162">
        <v>9.3616373162079422E-2</v>
      </c>
      <c r="E83" s="162">
        <v>0.12172255869896652</v>
      </c>
      <c r="F83" s="162">
        <v>8.1740276862227734E-3</v>
      </c>
      <c r="G83" s="162">
        <v>-5.7341073198357684E-2</v>
      </c>
      <c r="H83" s="163">
        <f t="shared" si="10"/>
        <v>40451.507787137925</v>
      </c>
      <c r="I83" s="163">
        <f t="shared" si="10"/>
        <v>1106.5781112123082</v>
      </c>
      <c r="J83" s="163">
        <f t="shared" si="10"/>
        <v>1910.2957512715263</v>
      </c>
      <c r="K83" s="163">
        <f t="shared" si="10"/>
        <v>6241.5412296206023</v>
      </c>
      <c r="L83" s="163">
        <f t="shared" si="10"/>
        <v>1309.8860754578877</v>
      </c>
      <c r="M83" s="163">
        <f t="shared" si="10"/>
        <v>1612.8875968992243</v>
      </c>
      <c r="N83" s="162">
        <f t="shared" ref="N83:N112" si="11">B83-C83</f>
        <v>4.0624132313442071E-2</v>
      </c>
      <c r="O83" s="162">
        <f t="shared" ref="O83:O112" si="12">B83-D83</f>
        <v>-1.8679093438278782E-2</v>
      </c>
      <c r="P83" s="164">
        <f t="shared" ref="P83:P113" si="13">B83-E83</f>
        <v>-4.6785278975165878E-2</v>
      </c>
      <c r="Q83" s="164">
        <f t="shared" si="7"/>
        <v>5.0319857010869606E-2</v>
      </c>
      <c r="R83" s="166">
        <v>2.9006500000000001E-2</v>
      </c>
      <c r="S83" s="168">
        <f t="shared" ref="S83:X113" si="14">(1+B83)/(1+$R83)-1</f>
        <v>4.4636044304677158E-2</v>
      </c>
      <c r="T83" s="168">
        <f t="shared" si="14"/>
        <v>5.1570591734442228E-3</v>
      </c>
      <c r="U83" s="168">
        <f t="shared" si="14"/>
        <v>6.2788595759190491E-2</v>
      </c>
      <c r="V83" s="168">
        <f t="shared" si="14"/>
        <v>9.0102500517699857E-2</v>
      </c>
      <c r="W83" s="168">
        <f t="shared" si="14"/>
        <v>-2.0245229076567672E-2</v>
      </c>
      <c r="X83" s="168">
        <f t="shared" si="14"/>
        <v>-8.3913535238463122E-2</v>
      </c>
    </row>
    <row r="84" spans="1:24">
      <c r="A84" s="161">
        <v>1993</v>
      </c>
      <c r="B84" s="162">
        <v>9.96705147919488E-2</v>
      </c>
      <c r="C84" s="162">
        <v>2.9971199999999996E-2</v>
      </c>
      <c r="D84" s="162">
        <v>0.14210957589263107</v>
      </c>
      <c r="E84" s="162">
        <v>0.16431517219561104</v>
      </c>
      <c r="F84" s="162">
        <v>2.1577089054531262E-2</v>
      </c>
      <c r="G84" s="162">
        <v>0.17677981375788532</v>
      </c>
      <c r="H84" s="163">
        <f t="shared" ref="H84:M99" si="15">H83*(1+B84)</f>
        <v>44483.33039239249</v>
      </c>
      <c r="I84" s="163">
        <f t="shared" si="15"/>
        <v>1139.7435850990746</v>
      </c>
      <c r="J84" s="163">
        <f t="shared" si="15"/>
        <v>2181.7670703142176</v>
      </c>
      <c r="K84" s="163">
        <f t="shared" si="15"/>
        <v>7267.1211515317182</v>
      </c>
      <c r="L84" s="163">
        <f t="shared" si="15"/>
        <v>1338.149603959333</v>
      </c>
      <c r="M84" s="163">
        <f t="shared" si="15"/>
        <v>1898.0135658914724</v>
      </c>
      <c r="N84" s="162">
        <f t="shared" si="11"/>
        <v>6.9699314791948797E-2</v>
      </c>
      <c r="O84" s="162">
        <f t="shared" si="12"/>
        <v>-4.2439061100682268E-2</v>
      </c>
      <c r="P84" s="164">
        <f t="shared" si="13"/>
        <v>-6.4644657403662237E-2</v>
      </c>
      <c r="Q84" s="164">
        <f t="shared" si="7"/>
        <v>4.8975937931758473E-2</v>
      </c>
      <c r="R84" s="166">
        <v>2.7484099999999997E-2</v>
      </c>
      <c r="S84" s="168">
        <f t="shared" si="14"/>
        <v>7.025550545448711E-2</v>
      </c>
      <c r="T84" s="168">
        <f t="shared" si="14"/>
        <v>2.4205727368435959E-3</v>
      </c>
      <c r="U84" s="168">
        <f t="shared" si="14"/>
        <v>0.11155936709155023</v>
      </c>
      <c r="V84" s="168">
        <f t="shared" si="14"/>
        <v>0.13317098745918421</v>
      </c>
      <c r="W84" s="168">
        <f t="shared" si="14"/>
        <v>-5.7490047247140685E-3</v>
      </c>
      <c r="X84" s="168">
        <f t="shared" si="14"/>
        <v>0.14530221320007319</v>
      </c>
    </row>
    <row r="85" spans="1:24">
      <c r="A85" s="161">
        <v>1994</v>
      </c>
      <c r="B85" s="162">
        <v>1.3259206774573897E-2</v>
      </c>
      <c r="C85" s="162">
        <v>4.2522489959839357E-2</v>
      </c>
      <c r="D85" s="162">
        <v>-8.0366555509985921E-2</v>
      </c>
      <c r="E85" s="162">
        <v>-1.3192033475710699E-2</v>
      </c>
      <c r="F85" s="162">
        <v>2.5089605734766929E-2</v>
      </c>
      <c r="G85" s="162">
        <v>-2.1697511167836581E-2</v>
      </c>
      <c r="H85" s="163">
        <f t="shared" si="15"/>
        <v>45073.144068086905</v>
      </c>
      <c r="I85" s="163">
        <f t="shared" si="15"/>
        <v>1188.2083202532413</v>
      </c>
      <c r="J85" s="163">
        <f t="shared" si="15"/>
        <v>2006.4259659479505</v>
      </c>
      <c r="K85" s="163">
        <f t="shared" si="15"/>
        <v>7171.2530460286662</v>
      </c>
      <c r="L85" s="163">
        <f t="shared" si="15"/>
        <v>1371.7232499368072</v>
      </c>
      <c r="M85" s="163">
        <f t="shared" si="15"/>
        <v>1856.8313953488368</v>
      </c>
      <c r="N85" s="162">
        <f t="shared" si="11"/>
        <v>-2.926328318526546E-2</v>
      </c>
      <c r="O85" s="162">
        <f t="shared" si="12"/>
        <v>9.3625762284559821E-2</v>
      </c>
      <c r="P85" s="164">
        <f t="shared" si="13"/>
        <v>2.6451240250284596E-2</v>
      </c>
      <c r="Q85" s="164">
        <f t="shared" si="7"/>
        <v>4.9718636171719899E-2</v>
      </c>
      <c r="R85" s="166">
        <v>2.6749000000000002E-2</v>
      </c>
      <c r="S85" s="168">
        <f t="shared" si="14"/>
        <v>-1.3138355357956155E-2</v>
      </c>
      <c r="T85" s="168">
        <f t="shared" si="14"/>
        <v>1.5362556924661597E-2</v>
      </c>
      <c r="U85" s="168">
        <f t="shared" si="14"/>
        <v>-0.10432496696854432</v>
      </c>
      <c r="V85" s="168">
        <f t="shared" si="14"/>
        <v>-3.8900484418013193E-2</v>
      </c>
      <c r="W85" s="168">
        <f t="shared" si="14"/>
        <v>-1.6161635075689906E-3</v>
      </c>
      <c r="X85" s="168">
        <f t="shared" si="14"/>
        <v>-4.7184376286547591E-2</v>
      </c>
    </row>
    <row r="86" spans="1:24">
      <c r="A86" s="161">
        <v>1995</v>
      </c>
      <c r="B86" s="162">
        <v>0.37195198902606308</v>
      </c>
      <c r="C86" s="162">
        <v>5.4896E-2</v>
      </c>
      <c r="D86" s="162">
        <v>0.23480780112538907</v>
      </c>
      <c r="E86" s="162">
        <v>0.20156218170640219</v>
      </c>
      <c r="F86" s="162">
        <v>1.7982017982018039E-2</v>
      </c>
      <c r="G86" s="162">
        <v>9.7847358121330164E-3</v>
      </c>
      <c r="H86" s="163">
        <f t="shared" si="15"/>
        <v>61838.189655870119</v>
      </c>
      <c r="I86" s="163">
        <f t="shared" si="15"/>
        <v>1253.4362042018633</v>
      </c>
      <c r="J86" s="163">
        <f t="shared" si="15"/>
        <v>2477.5504351330737</v>
      </c>
      <c r="K86" s="163">
        <f t="shared" si="15"/>
        <v>8616.7064555548859</v>
      </c>
      <c r="L86" s="163">
        <f t="shared" si="15"/>
        <v>1396.389602083523</v>
      </c>
      <c r="M86" s="163">
        <f t="shared" si="15"/>
        <v>1874.9999999999995</v>
      </c>
      <c r="N86" s="162">
        <f t="shared" si="11"/>
        <v>0.31705598902606308</v>
      </c>
      <c r="O86" s="162">
        <f t="shared" si="12"/>
        <v>0.13714418790067401</v>
      </c>
      <c r="P86" s="164">
        <f t="shared" si="13"/>
        <v>0.17038980731966089</v>
      </c>
      <c r="Q86" s="164">
        <f t="shared" si="7"/>
        <v>5.0791451119413633E-2</v>
      </c>
      <c r="R86" s="166">
        <v>2.53841E-2</v>
      </c>
      <c r="S86" s="168">
        <f t="shared" si="14"/>
        <v>0.33798835872924404</v>
      </c>
      <c r="T86" s="168">
        <f t="shared" si="14"/>
        <v>2.8781312290682148E-2</v>
      </c>
      <c r="U86" s="168">
        <f t="shared" si="14"/>
        <v>0.20423927104524942</v>
      </c>
      <c r="V86" s="168">
        <f t="shared" si="14"/>
        <v>0.17181667016916125</v>
      </c>
      <c r="W86" s="168">
        <f t="shared" si="14"/>
        <v>-7.218838304574704E-3</v>
      </c>
      <c r="X86" s="168">
        <f t="shared" si="14"/>
        <v>-1.5213191025555073E-2</v>
      </c>
    </row>
    <row r="87" spans="1:24">
      <c r="A87" s="161">
        <v>1996</v>
      </c>
      <c r="B87" s="162">
        <v>0.22680966018865789</v>
      </c>
      <c r="C87" s="162">
        <v>5.005396825396826E-2</v>
      </c>
      <c r="D87" s="162">
        <v>1.428607793401844E-2</v>
      </c>
      <c r="E87" s="162">
        <v>4.79259941944115E-2</v>
      </c>
      <c r="F87" s="162">
        <v>2.4165848871442686E-2</v>
      </c>
      <c r="G87" s="162">
        <v>-4.5865633074935408E-2</v>
      </c>
      <c r="H87" s="163">
        <f t="shared" si="15"/>
        <v>75863.688438399797</v>
      </c>
      <c r="I87" s="163">
        <f t="shared" si="15"/>
        <v>1316.175660175358</v>
      </c>
      <c r="J87" s="163">
        <f t="shared" si="15"/>
        <v>2512.9449137348461</v>
      </c>
      <c r="K87" s="163">
        <f t="shared" si="15"/>
        <v>9029.6706791187571</v>
      </c>
      <c r="L87" s="163">
        <f t="shared" si="15"/>
        <v>1430.1345421731273</v>
      </c>
      <c r="M87" s="163">
        <f t="shared" si="15"/>
        <v>1789.0019379844957</v>
      </c>
      <c r="N87" s="162">
        <f t="shared" si="11"/>
        <v>0.17675569193468962</v>
      </c>
      <c r="O87" s="162">
        <f t="shared" si="12"/>
        <v>0.21252358225463946</v>
      </c>
      <c r="P87" s="164">
        <f t="shared" si="13"/>
        <v>0.17888366599424638</v>
      </c>
      <c r="Q87" s="164">
        <f t="shared" si="7"/>
        <v>5.304503967737495E-2</v>
      </c>
      <c r="R87" s="166">
        <v>3.3224799999999999E-2</v>
      </c>
      <c r="S87" s="168">
        <f t="shared" si="14"/>
        <v>0.18735986610915445</v>
      </c>
      <c r="T87" s="168">
        <f t="shared" si="14"/>
        <v>1.628800262437391E-2</v>
      </c>
      <c r="U87" s="168">
        <f t="shared" si="14"/>
        <v>-1.8329720759685197E-2</v>
      </c>
      <c r="V87" s="168">
        <f t="shared" si="14"/>
        <v>1.4228456570546388E-2</v>
      </c>
      <c r="W87" s="168">
        <f t="shared" si="14"/>
        <v>-8.7676477844484957E-3</v>
      </c>
      <c r="X87" s="168">
        <f t="shared" si="14"/>
        <v>-7.6547168704172996E-2</v>
      </c>
    </row>
    <row r="88" spans="1:24">
      <c r="A88" s="161">
        <v>1997</v>
      </c>
      <c r="B88" s="162">
        <v>0.33103653103653097</v>
      </c>
      <c r="C88" s="162">
        <v>5.0620800000000001E-2</v>
      </c>
      <c r="D88" s="162">
        <v>9.939130272977531E-2</v>
      </c>
      <c r="E88" s="162">
        <v>0.11834887244426365</v>
      </c>
      <c r="F88" s="162">
        <v>4.0244340639597587E-2</v>
      </c>
      <c r="G88" s="162">
        <v>-0.21408259986459044</v>
      </c>
      <c r="H88" s="163">
        <f t="shared" si="15"/>
        <v>100977.34069068384</v>
      </c>
      <c r="I88" s="163">
        <f t="shared" si="15"/>
        <v>1382.8015250339627</v>
      </c>
      <c r="J88" s="163">
        <f t="shared" si="15"/>
        <v>2762.7097823991153</v>
      </c>
      <c r="K88" s="163">
        <f t="shared" si="15"/>
        <v>10098.322022535491</v>
      </c>
      <c r="L88" s="163">
        <f t="shared" si="15"/>
        <v>1487.6893638487977</v>
      </c>
      <c r="M88" s="163">
        <f t="shared" si="15"/>
        <v>1406.007751937984</v>
      </c>
      <c r="N88" s="162">
        <f t="shared" si="11"/>
        <v>0.28041573103653095</v>
      </c>
      <c r="O88" s="162">
        <f t="shared" si="12"/>
        <v>0.23164522830675566</v>
      </c>
      <c r="P88" s="164">
        <f t="shared" si="13"/>
        <v>0.21268765859226732</v>
      </c>
      <c r="Q88" s="164">
        <f t="shared" si="7"/>
        <v>5.5315584903303572E-2</v>
      </c>
      <c r="R88" s="166">
        <v>1.7023999999999997E-2</v>
      </c>
      <c r="S88" s="168">
        <f t="shared" si="14"/>
        <v>0.30875626439152959</v>
      </c>
      <c r="T88" s="168">
        <f t="shared" si="14"/>
        <v>3.3034421999874164E-2</v>
      </c>
      <c r="U88" s="168">
        <f t="shared" si="14"/>
        <v>8.098855359340118E-2</v>
      </c>
      <c r="V88" s="168">
        <f t="shared" si="14"/>
        <v>9.9628791891109403E-2</v>
      </c>
      <c r="W88" s="168">
        <f t="shared" si="14"/>
        <v>2.2831654552496028E-2</v>
      </c>
      <c r="X88" s="168">
        <f t="shared" si="14"/>
        <v>-0.22723809847613274</v>
      </c>
    </row>
    <row r="89" spans="1:24">
      <c r="A89" s="161">
        <v>1998</v>
      </c>
      <c r="B89" s="162">
        <v>0.28337953278443584</v>
      </c>
      <c r="C89" s="162">
        <v>4.7759600000000006E-2</v>
      </c>
      <c r="D89" s="162">
        <v>0.14921431922606215</v>
      </c>
      <c r="E89" s="162">
        <v>7.9454561327070808E-2</v>
      </c>
      <c r="F89" s="162">
        <v>6.4478986758779611E-2</v>
      </c>
      <c r="G89" s="162">
        <v>-8.2701585113713616E-3</v>
      </c>
      <c r="H89" s="163">
        <f t="shared" si="15"/>
        <v>129592.25231742462</v>
      </c>
      <c r="I89" s="163">
        <f t="shared" si="15"/>
        <v>1448.8435727489748</v>
      </c>
      <c r="J89" s="163">
        <f t="shared" si="15"/>
        <v>3174.9456417989818</v>
      </c>
      <c r="K89" s="163">
        <f t="shared" si="15"/>
        <v>10900.679768975546</v>
      </c>
      <c r="L89" s="163">
        <f t="shared" si="15"/>
        <v>1583.6140666415815</v>
      </c>
      <c r="M89" s="163">
        <f t="shared" si="15"/>
        <v>1394.37984496124</v>
      </c>
      <c r="N89" s="162">
        <f t="shared" si="11"/>
        <v>0.23561993278443583</v>
      </c>
      <c r="O89" s="162">
        <f t="shared" si="12"/>
        <v>0.13416521355837369</v>
      </c>
      <c r="P89" s="164">
        <f t="shared" si="13"/>
        <v>0.20392497145736505</v>
      </c>
      <c r="Q89" s="164">
        <f t="shared" si="7"/>
        <v>5.6306048135548625E-2</v>
      </c>
      <c r="R89" s="166">
        <v>1.6119000000000001E-2</v>
      </c>
      <c r="S89" s="168">
        <f t="shared" si="14"/>
        <v>0.26302089891482772</v>
      </c>
      <c r="T89" s="168">
        <f t="shared" si="14"/>
        <v>3.1138675686607664E-2</v>
      </c>
      <c r="U89" s="168">
        <f t="shared" si="14"/>
        <v>0.13098398831835856</v>
      </c>
      <c r="V89" s="168">
        <f t="shared" si="14"/>
        <v>6.2330850350274636E-2</v>
      </c>
      <c r="W89" s="168">
        <f t="shared" si="14"/>
        <v>4.7592837806181842E-2</v>
      </c>
      <c r="X89" s="168">
        <f t="shared" si="14"/>
        <v>-2.4002265985943905E-2</v>
      </c>
    </row>
    <row r="90" spans="1:24">
      <c r="A90" s="161">
        <v>1999</v>
      </c>
      <c r="B90" s="162">
        <v>0.20885350992084475</v>
      </c>
      <c r="C90" s="162">
        <v>4.6384063745019917E-2</v>
      </c>
      <c r="D90" s="162">
        <v>-8.2542147962685761E-2</v>
      </c>
      <c r="E90" s="162">
        <v>8.4316347548218651E-3</v>
      </c>
      <c r="F90" s="162">
        <v>7.6798269334775515E-2</v>
      </c>
      <c r="G90" s="162">
        <v>8.5128561501042199E-3</v>
      </c>
      <c r="H90" s="163">
        <f t="shared" si="15"/>
        <v>156658.0490724665</v>
      </c>
      <c r="I90" s="163">
        <f t="shared" si="15"/>
        <v>1516.0468253839256</v>
      </c>
      <c r="J90" s="163">
        <f t="shared" si="15"/>
        <v>2912.8788088601259</v>
      </c>
      <c r="K90" s="163">
        <f t="shared" si="15"/>
        <v>10992.590319366824</v>
      </c>
      <c r="L90" s="163">
        <f t="shared" si="15"/>
        <v>1705.2328862538609</v>
      </c>
      <c r="M90" s="163">
        <f t="shared" si="15"/>
        <v>1406.2499999999995</v>
      </c>
      <c r="N90" s="162">
        <f t="shared" si="11"/>
        <v>0.16246944617582484</v>
      </c>
      <c r="O90" s="162">
        <f t="shared" si="12"/>
        <v>0.2913956578835305</v>
      </c>
      <c r="P90" s="164">
        <f t="shared" si="13"/>
        <v>0.20042187516602289</v>
      </c>
      <c r="Q90" s="164">
        <f t="shared" si="7"/>
        <v>5.9634694818320177E-2</v>
      </c>
      <c r="R90" s="166">
        <v>2.6845599999999997E-2</v>
      </c>
      <c r="S90" s="168">
        <f t="shared" si="14"/>
        <v>0.17724953967845303</v>
      </c>
      <c r="T90" s="168">
        <f t="shared" si="14"/>
        <v>1.9027654931783378E-2</v>
      </c>
      <c r="U90" s="168">
        <f t="shared" si="14"/>
        <v>-0.10652794145749434</v>
      </c>
      <c r="V90" s="168">
        <f t="shared" si="14"/>
        <v>-1.7932555045449883E-2</v>
      </c>
      <c r="W90" s="168">
        <f t="shared" si="14"/>
        <v>4.8646718975837944E-2</v>
      </c>
      <c r="X90" s="168">
        <f t="shared" si="14"/>
        <v>-1.7853457082443236E-2</v>
      </c>
    </row>
    <row r="91" spans="1:24">
      <c r="A91" s="161">
        <v>2000</v>
      </c>
      <c r="B91" s="162">
        <v>-9.0318189552492781E-2</v>
      </c>
      <c r="C91" s="162">
        <v>5.8198007968127491E-2</v>
      </c>
      <c r="D91" s="162">
        <v>0.16655267125397488</v>
      </c>
      <c r="E91" s="162">
        <v>9.3296855210372037E-2</v>
      </c>
      <c r="F91" s="162">
        <v>9.2817679558011124E-2</v>
      </c>
      <c r="G91" s="162">
        <v>-5.4435831180017269E-2</v>
      </c>
      <c r="H91" s="163">
        <f t="shared" si="15"/>
        <v>142508.97770141574</v>
      </c>
      <c r="I91" s="163">
        <f t="shared" si="15"/>
        <v>1604.2777306076737</v>
      </c>
      <c r="J91" s="163">
        <f t="shared" si="15"/>
        <v>3398.0265555148762</v>
      </c>
      <c r="K91" s="163">
        <f t="shared" si="15"/>
        <v>12018.164426779729</v>
      </c>
      <c r="L91" s="163">
        <f t="shared" si="15"/>
        <v>1863.5086458619542</v>
      </c>
      <c r="M91" s="163">
        <f t="shared" si="15"/>
        <v>1329.6996124031002</v>
      </c>
      <c r="N91" s="162">
        <f t="shared" si="11"/>
        <v>-0.14851619752062029</v>
      </c>
      <c r="O91" s="162">
        <f t="shared" si="12"/>
        <v>-0.25687086080646765</v>
      </c>
      <c r="P91" s="164">
        <f t="shared" si="13"/>
        <v>-0.18361504476286483</v>
      </c>
      <c r="Q91" s="164">
        <f t="shared" si="7"/>
        <v>5.5111895842923087E-2</v>
      </c>
      <c r="R91" s="166">
        <v>3.3868099999999998E-2</v>
      </c>
      <c r="S91" s="168">
        <f t="shared" si="14"/>
        <v>-0.12011811714907628</v>
      </c>
      <c r="T91" s="168">
        <f t="shared" si="14"/>
        <v>2.3532893575232139E-2</v>
      </c>
      <c r="U91" s="168">
        <f t="shared" si="14"/>
        <v>0.12833800680567942</v>
      </c>
      <c r="V91" s="168">
        <f t="shared" si="14"/>
        <v>5.7481950754039168E-2</v>
      </c>
      <c r="W91" s="168">
        <f t="shared" si="14"/>
        <v>5.7018472238393958E-2</v>
      </c>
      <c r="X91" s="168">
        <f t="shared" si="14"/>
        <v>-8.5411215589316747E-2</v>
      </c>
    </row>
    <row r="92" spans="1:24">
      <c r="A92" s="161">
        <v>2001</v>
      </c>
      <c r="B92" s="162">
        <v>-0.11849759142000185</v>
      </c>
      <c r="C92" s="162">
        <v>3.3993548387096777E-2</v>
      </c>
      <c r="D92" s="162">
        <v>5.5721811892492555E-2</v>
      </c>
      <c r="E92" s="162">
        <v>7.8191507542878236E-2</v>
      </c>
      <c r="F92" s="162">
        <v>6.6734074823053602E-2</v>
      </c>
      <c r="G92" s="162">
        <v>7.4694844233922364E-3</v>
      </c>
      <c r="H92" s="163">
        <f t="shared" si="15"/>
        <v>125622.00708807123</v>
      </c>
      <c r="I92" s="163">
        <f t="shared" si="15"/>
        <v>1658.8128232694276</v>
      </c>
      <c r="J92" s="163">
        <f t="shared" si="15"/>
        <v>3587.3707520469702</v>
      </c>
      <c r="K92" s="163">
        <f t="shared" si="15"/>
        <v>12957.882821207828</v>
      </c>
      <c r="L92" s="163">
        <f t="shared" si="15"/>
        <v>1987.8681712683131</v>
      </c>
      <c r="M92" s="163">
        <f t="shared" si="15"/>
        <v>1339.6317829457359</v>
      </c>
      <c r="N92" s="162">
        <f t="shared" si="11"/>
        <v>-0.15249113980709864</v>
      </c>
      <c r="O92" s="162">
        <f t="shared" si="12"/>
        <v>-0.17421940331249441</v>
      </c>
      <c r="P92" s="164">
        <f t="shared" si="13"/>
        <v>-0.19668909896288009</v>
      </c>
      <c r="Q92" s="164">
        <f t="shared" si="7"/>
        <v>5.1665345512908356E-2</v>
      </c>
      <c r="R92" s="166">
        <v>1.55172E-2</v>
      </c>
      <c r="S92" s="168">
        <f t="shared" si="14"/>
        <v>-0.13196703258202003</v>
      </c>
      <c r="T92" s="168">
        <f t="shared" si="14"/>
        <v>1.8194028015573682E-2</v>
      </c>
      <c r="U92" s="168">
        <f t="shared" si="14"/>
        <v>3.9590281575233366E-2</v>
      </c>
      <c r="V92" s="168">
        <f t="shared" si="14"/>
        <v>6.1716638125753454E-2</v>
      </c>
      <c r="W92" s="168">
        <f t="shared" si="14"/>
        <v>5.0434276074352802E-2</v>
      </c>
      <c r="X92" s="168">
        <f t="shared" si="14"/>
        <v>-7.9247457124386189E-3</v>
      </c>
    </row>
    <row r="93" spans="1:24">
      <c r="A93" s="161">
        <v>2002</v>
      </c>
      <c r="B93" s="162">
        <v>-0.21966047957912699</v>
      </c>
      <c r="C93" s="162">
        <v>1.60532E-2</v>
      </c>
      <c r="D93" s="162">
        <v>0.15116400378109285</v>
      </c>
      <c r="E93" s="162">
        <v>0.12177867693975485</v>
      </c>
      <c r="F93" s="162">
        <v>9.5648427401981984E-2</v>
      </c>
      <c r="G93" s="162">
        <v>0.2556962025316456</v>
      </c>
      <c r="H93" s="163">
        <f t="shared" si="15"/>
        <v>98027.816765413008</v>
      </c>
      <c r="I93" s="163">
        <f t="shared" si="15"/>
        <v>1685.4420772839362</v>
      </c>
      <c r="J93" s="163">
        <f t="shared" si="15"/>
        <v>4129.6520779735802</v>
      </c>
      <c r="K93" s="163">
        <f t="shared" si="15"/>
        <v>14535.876647114896</v>
      </c>
      <c r="L93" s="163">
        <f t="shared" si="15"/>
        <v>2178.0046357325809</v>
      </c>
      <c r="M93" s="163">
        <f t="shared" si="15"/>
        <v>1682.1705426356584</v>
      </c>
      <c r="N93" s="162">
        <f t="shared" si="11"/>
        <v>-0.23571367957912698</v>
      </c>
      <c r="O93" s="162">
        <f t="shared" si="12"/>
        <v>-0.37082448336021984</v>
      </c>
      <c r="P93" s="164">
        <f t="shared" si="13"/>
        <v>-0.34143915651888185</v>
      </c>
      <c r="Q93" s="164">
        <f t="shared" si="7"/>
        <v>4.5325449773477855E-2</v>
      </c>
      <c r="R93" s="166">
        <v>2.3769100000000001E-2</v>
      </c>
      <c r="S93" s="168">
        <f t="shared" si="14"/>
        <v>-0.23777781491854666</v>
      </c>
      <c r="T93" s="168">
        <f t="shared" si="14"/>
        <v>-7.5367580443675974E-3</v>
      </c>
      <c r="U93" s="168">
        <f t="shared" si="14"/>
        <v>0.12443714484163748</v>
      </c>
      <c r="V93" s="168">
        <f t="shared" si="14"/>
        <v>9.5734064389865647E-2</v>
      </c>
      <c r="W93" s="168">
        <f t="shared" si="14"/>
        <v>7.0210487308106861E-2</v>
      </c>
      <c r="X93" s="168">
        <f t="shared" si="14"/>
        <v>0.22654239372105067</v>
      </c>
    </row>
    <row r="94" spans="1:24">
      <c r="A94" s="161">
        <v>2003</v>
      </c>
      <c r="B94" s="162">
        <v>0.28355800050010233</v>
      </c>
      <c r="C94" s="162">
        <v>1.00836E-2</v>
      </c>
      <c r="D94" s="162">
        <v>3.7531858817758529E-3</v>
      </c>
      <c r="E94" s="162">
        <v>0.13532012096857571</v>
      </c>
      <c r="F94" s="162">
        <v>9.8151789225324304E-2</v>
      </c>
      <c r="G94" s="162">
        <v>0.1988767281105992</v>
      </c>
      <c r="H94" s="163">
        <f t="shared" si="15"/>
        <v>125824.38848080393</v>
      </c>
      <c r="I94" s="163">
        <f t="shared" si="15"/>
        <v>1702.4374010144365</v>
      </c>
      <c r="J94" s="163">
        <f t="shared" si="15"/>
        <v>4145.1514298492766</v>
      </c>
      <c r="K94" s="163">
        <f t="shared" si="15"/>
        <v>16502.873233386777</v>
      </c>
      <c r="L94" s="163">
        <f t="shared" si="15"/>
        <v>2391.7796876707844</v>
      </c>
      <c r="M94" s="163">
        <f t="shared" si="15"/>
        <v>2016.7151162790694</v>
      </c>
      <c r="N94" s="162">
        <f t="shared" si="11"/>
        <v>0.2734744005001023</v>
      </c>
      <c r="O94" s="162">
        <f t="shared" si="12"/>
        <v>0.27980481461832646</v>
      </c>
      <c r="P94" s="164">
        <f t="shared" si="13"/>
        <v>0.14823787953152662</v>
      </c>
      <c r="Q94" s="164">
        <f t="shared" si="7"/>
        <v>4.8237796117156506E-2</v>
      </c>
      <c r="R94" s="166">
        <v>1.87949E-2</v>
      </c>
      <c r="S94" s="168">
        <f t="shared" si="14"/>
        <v>0.25987870620485265</v>
      </c>
      <c r="T94" s="168">
        <f t="shared" si="14"/>
        <v>-8.5505924695933322E-3</v>
      </c>
      <c r="U94" s="168">
        <f t="shared" si="14"/>
        <v>-1.4764222041378727E-2</v>
      </c>
      <c r="V94" s="168">
        <f t="shared" si="14"/>
        <v>0.11437554405560491</v>
      </c>
      <c r="W94" s="168">
        <f t="shared" si="14"/>
        <v>7.7892899959868478E-2</v>
      </c>
      <c r="X94" s="168">
        <f t="shared" si="14"/>
        <v>0.17675964819866996</v>
      </c>
    </row>
    <row r="95" spans="1:24">
      <c r="A95" s="161">
        <v>2004</v>
      </c>
      <c r="B95" s="162">
        <v>0.10742775944096193</v>
      </c>
      <c r="C95" s="162">
        <v>1.3746400000000001E-2</v>
      </c>
      <c r="D95" s="162">
        <v>4.490683702274547E-2</v>
      </c>
      <c r="E95" s="162">
        <v>9.888628408721839E-2</v>
      </c>
      <c r="F95" s="162">
        <v>0.13636038100694692</v>
      </c>
      <c r="G95" s="162">
        <v>4.6486486486486456E-2</v>
      </c>
      <c r="H95" s="163">
        <f t="shared" si="15"/>
        <v>139341.42061832585</v>
      </c>
      <c r="I95" s="163">
        <f t="shared" si="15"/>
        <v>1725.8397865037414</v>
      </c>
      <c r="J95" s="163">
        <f t="shared" si="15"/>
        <v>4331.2970695441181</v>
      </c>
      <c r="K95" s="163">
        <f t="shared" si="15"/>
        <v>18134.781044198815</v>
      </c>
      <c r="L95" s="163">
        <f t="shared" si="15"/>
        <v>2717.923677166249</v>
      </c>
      <c r="M95" s="163">
        <f t="shared" si="15"/>
        <v>2110.4651162790692</v>
      </c>
      <c r="N95" s="162">
        <f t="shared" si="11"/>
        <v>9.3681359440961925E-2</v>
      </c>
      <c r="O95" s="162">
        <f t="shared" si="12"/>
        <v>6.2520922418216468E-2</v>
      </c>
      <c r="P95" s="164">
        <f t="shared" si="13"/>
        <v>8.5414753537435412E-3</v>
      </c>
      <c r="Q95" s="164">
        <f t="shared" si="7"/>
        <v>4.842299846885445E-2</v>
      </c>
      <c r="R95" s="166">
        <v>3.2555599999999997E-2</v>
      </c>
      <c r="S95" s="168">
        <f t="shared" si="14"/>
        <v>7.2511503923819554E-2</v>
      </c>
      <c r="T95" s="168">
        <f t="shared" si="14"/>
        <v>-1.8216161919028862E-2</v>
      </c>
      <c r="U95" s="168">
        <f t="shared" si="14"/>
        <v>1.1961813022703494E-2</v>
      </c>
      <c r="V95" s="168">
        <f t="shared" si="14"/>
        <v>6.4239334024452033E-2</v>
      </c>
      <c r="W95" s="168">
        <f t="shared" si="14"/>
        <v>0.10053190453564631</v>
      </c>
      <c r="X95" s="168">
        <f t="shared" si="14"/>
        <v>1.3491657482160191E-2</v>
      </c>
    </row>
    <row r="96" spans="1:24">
      <c r="A96" s="161">
        <v>2005</v>
      </c>
      <c r="B96" s="162">
        <v>4.8344775232688535E-2</v>
      </c>
      <c r="C96" s="162">
        <v>3.1491600000000002E-2</v>
      </c>
      <c r="D96" s="162">
        <v>2.8675329597779506E-2</v>
      </c>
      <c r="E96" s="162">
        <v>4.9175379871695298E-2</v>
      </c>
      <c r="F96" s="162">
        <v>0.1351232116972334</v>
      </c>
      <c r="G96" s="162">
        <v>0.1776859504132231</v>
      </c>
      <c r="H96" s="163">
        <f t="shared" si="15"/>
        <v>146077.8502787223</v>
      </c>
      <c r="I96" s="163">
        <f t="shared" si="15"/>
        <v>1780.1892427244027</v>
      </c>
      <c r="J96" s="163">
        <f t="shared" si="15"/>
        <v>4455.4984405991927</v>
      </c>
      <c r="K96" s="163">
        <f t="shared" si="15"/>
        <v>19026.565790937311</v>
      </c>
      <c r="L96" s="163">
        <f t="shared" si="15"/>
        <v>3085.1782535729071</v>
      </c>
      <c r="M96" s="163">
        <f t="shared" si="15"/>
        <v>2485.4651162790692</v>
      </c>
      <c r="N96" s="162">
        <f t="shared" si="11"/>
        <v>1.6853175232688533E-2</v>
      </c>
      <c r="O96" s="162">
        <f t="shared" si="12"/>
        <v>1.9669445634909029E-2</v>
      </c>
      <c r="P96" s="164">
        <f t="shared" si="13"/>
        <v>-8.3060463900676285E-4</v>
      </c>
      <c r="Q96" s="164">
        <f t="shared" si="7"/>
        <v>4.8042189402255131E-2</v>
      </c>
      <c r="R96" s="166">
        <v>3.4156600000000002E-2</v>
      </c>
      <c r="S96" s="168">
        <f t="shared" si="14"/>
        <v>1.3719561653127155E-2</v>
      </c>
      <c r="T96" s="168">
        <f t="shared" si="14"/>
        <v>-2.5769791538340359E-3</v>
      </c>
      <c r="U96" s="168">
        <f t="shared" si="14"/>
        <v>-5.3002324814447332E-3</v>
      </c>
      <c r="V96" s="168">
        <f t="shared" si="14"/>
        <v>1.4522732699956187E-2</v>
      </c>
      <c r="W96" s="168">
        <f t="shared" si="14"/>
        <v>9.7631839991383806E-2</v>
      </c>
      <c r="X96" s="168">
        <f t="shared" si="14"/>
        <v>0.13878879698995594</v>
      </c>
    </row>
    <row r="97" spans="1:24">
      <c r="A97" s="161">
        <v>2006</v>
      </c>
      <c r="B97" s="162">
        <v>0.15612557979315703</v>
      </c>
      <c r="C97" s="162">
        <v>4.7300000000000002E-2</v>
      </c>
      <c r="D97" s="162">
        <v>1.9610012417568386E-2</v>
      </c>
      <c r="E97" s="162">
        <v>7.048397662889147E-2</v>
      </c>
      <c r="F97" s="162">
        <v>1.7322747210038125E-2</v>
      </c>
      <c r="G97" s="162">
        <v>0.23196881091617927</v>
      </c>
      <c r="H97" s="163">
        <f t="shared" si="15"/>
        <v>168884.33934842583</v>
      </c>
      <c r="I97" s="163">
        <f t="shared" si="15"/>
        <v>1864.3921939052668</v>
      </c>
      <c r="J97" s="163">
        <f t="shared" si="15"/>
        <v>4542.8708203458</v>
      </c>
      <c r="K97" s="163">
        <f t="shared" si="15"/>
        <v>20367.633809473802</v>
      </c>
      <c r="L97" s="163">
        <f t="shared" si="15"/>
        <v>3138.6220165574573</v>
      </c>
      <c r="M97" s="163">
        <f t="shared" si="15"/>
        <v>3062.0155038759681</v>
      </c>
      <c r="N97" s="162">
        <f t="shared" si="11"/>
        <v>0.10882557979315702</v>
      </c>
      <c r="O97" s="162">
        <f t="shared" si="12"/>
        <v>0.13651556737558865</v>
      </c>
      <c r="P97" s="164">
        <f t="shared" si="13"/>
        <v>8.5641603164265556E-2</v>
      </c>
      <c r="Q97" s="164">
        <f t="shared" si="7"/>
        <v>4.9149036004805913E-2</v>
      </c>
      <c r="R97" s="166">
        <v>2.5406499999999999E-2</v>
      </c>
      <c r="S97" s="168">
        <f t="shared" si="14"/>
        <v>0.12748025275162322</v>
      </c>
      <c r="T97" s="168">
        <f t="shared" si="14"/>
        <v>2.1351044683254994E-2</v>
      </c>
      <c r="U97" s="168">
        <f t="shared" si="14"/>
        <v>-5.6528679917978719E-3</v>
      </c>
      <c r="V97" s="168">
        <f t="shared" si="14"/>
        <v>4.3960591852003628E-2</v>
      </c>
      <c r="W97" s="168">
        <f t="shared" si="14"/>
        <v>-7.8834616222559495E-3</v>
      </c>
      <c r="X97" s="168">
        <f t="shared" si="14"/>
        <v>0.20144431590416034</v>
      </c>
    </row>
    <row r="98" spans="1:24">
      <c r="A98" s="161">
        <v>2007</v>
      </c>
      <c r="B98" s="162">
        <v>5.4847352464217694E-2</v>
      </c>
      <c r="C98" s="162">
        <v>4.3619521912350592E-2</v>
      </c>
      <c r="D98" s="162">
        <v>0.10209921930012807</v>
      </c>
      <c r="E98" s="162">
        <v>3.1503861528055586E-2</v>
      </c>
      <c r="F98" s="162">
        <v>-5.3975877312667064E-2</v>
      </c>
      <c r="G98" s="162">
        <v>0.31922468354430378</v>
      </c>
      <c r="H98" s="163">
        <f t="shared" si="15"/>
        <v>178147.19823435548</v>
      </c>
      <c r="I98" s="163">
        <f t="shared" si="15"/>
        <v>1945.7160900605329</v>
      </c>
      <c r="J98" s="163">
        <f t="shared" si="15"/>
        <v>5006.6943844844382</v>
      </c>
      <c r="K98" s="163">
        <f t="shared" si="15"/>
        <v>21009.292924661608</v>
      </c>
      <c r="L98" s="163">
        <f t="shared" si="15"/>
        <v>2969.2121396609164</v>
      </c>
      <c r="M98" s="163">
        <f t="shared" si="15"/>
        <v>4039.4864341085258</v>
      </c>
      <c r="N98" s="162">
        <f t="shared" si="11"/>
        <v>1.1227830551867102E-2</v>
      </c>
      <c r="O98" s="162">
        <f t="shared" si="12"/>
        <v>-4.7251866835910372E-2</v>
      </c>
      <c r="P98" s="164">
        <f t="shared" si="13"/>
        <v>2.3343490936162108E-2</v>
      </c>
      <c r="Q98" s="164">
        <f t="shared" si="7"/>
        <v>4.7948712238125024E-2</v>
      </c>
      <c r="R98" s="166">
        <v>4.08127E-2</v>
      </c>
      <c r="S98" s="168">
        <f t="shared" si="14"/>
        <v>1.3484320919813664E-2</v>
      </c>
      <c r="T98" s="168">
        <f t="shared" si="14"/>
        <v>2.6967598611646881E-3</v>
      </c>
      <c r="U98" s="168">
        <f t="shared" si="14"/>
        <v>5.8883331554397733E-2</v>
      </c>
      <c r="V98" s="168">
        <f t="shared" si="14"/>
        <v>-8.943817145913413E-3</v>
      </c>
      <c r="W98" s="168">
        <f t="shared" si="14"/>
        <v>-9.107169552472516E-2</v>
      </c>
      <c r="X98" s="168">
        <f t="shared" si="14"/>
        <v>0.26749479857836445</v>
      </c>
    </row>
    <row r="99" spans="1:24">
      <c r="A99" s="161">
        <v>2008</v>
      </c>
      <c r="B99" s="162">
        <v>-0.36552344111798191</v>
      </c>
      <c r="C99" s="162">
        <v>1.3713147410358567E-2</v>
      </c>
      <c r="D99" s="162">
        <v>0.20101279926977011</v>
      </c>
      <c r="E99" s="162">
        <v>-5.0657146287488741E-2</v>
      </c>
      <c r="F99" s="162">
        <v>-0.11999538479289262</v>
      </c>
      <c r="G99" s="162">
        <v>4.3178410794602717E-2</v>
      </c>
      <c r="H99" s="163">
        <f t="shared" si="15"/>
        <v>113030.22131020659</v>
      </c>
      <c r="I99" s="163">
        <f t="shared" si="15"/>
        <v>1972.3979816222397</v>
      </c>
      <c r="J99" s="163">
        <f t="shared" si="15"/>
        <v>6013.1040377978934</v>
      </c>
      <c r="K99" s="163">
        <f t="shared" si="15"/>
        <v>19945.022099580321</v>
      </c>
      <c r="L99" s="163">
        <f t="shared" si="15"/>
        <v>2612.9203864305769</v>
      </c>
      <c r="M99" s="163">
        <f t="shared" si="15"/>
        <v>4213.905038759689</v>
      </c>
      <c r="N99" s="162">
        <f t="shared" si="11"/>
        <v>-0.37923658852834047</v>
      </c>
      <c r="O99" s="162">
        <f t="shared" si="12"/>
        <v>-0.56653624038775208</v>
      </c>
      <c r="P99" s="164">
        <f t="shared" si="13"/>
        <v>-0.31486629483049317</v>
      </c>
      <c r="Q99" s="164">
        <f t="shared" si="7"/>
        <v>3.8795868868689798E-2</v>
      </c>
      <c r="R99" s="166">
        <v>9.1410000000000005E-4</v>
      </c>
      <c r="S99" s="168">
        <f t="shared" si="14"/>
        <v>-0.36610288646946021</v>
      </c>
      <c r="T99" s="168">
        <f t="shared" si="14"/>
        <v>1.2787358485966793E-2</v>
      </c>
      <c r="U99" s="168">
        <f t="shared" si="14"/>
        <v>0.19991595609430446</v>
      </c>
      <c r="V99" s="168">
        <f t="shared" si="14"/>
        <v>-5.1524148063743613E-2</v>
      </c>
      <c r="W99" s="168">
        <f t="shared" si="14"/>
        <v>-0.12079906236998017</v>
      </c>
      <c r="X99" s="168">
        <f t="shared" si="14"/>
        <v>4.2225712271015903E-2</v>
      </c>
    </row>
    <row r="100" spans="1:24">
      <c r="A100" s="161">
        <v>2009</v>
      </c>
      <c r="B100" s="162">
        <v>0.25935233877663982</v>
      </c>
      <c r="C100" s="162">
        <v>1.5051999999999999E-3</v>
      </c>
      <c r="D100" s="162">
        <v>-0.11116695313259162</v>
      </c>
      <c r="E100" s="162">
        <v>0.23329502491661896</v>
      </c>
      <c r="F100" s="162">
        <v>-3.848170971548448E-2</v>
      </c>
      <c r="G100" s="162">
        <v>0.25035929864903705</v>
      </c>
      <c r="H100" s="163">
        <f t="shared" ref="H100:M113" si="16">H99*(1+B100)</f>
        <v>142344.87355944986</v>
      </c>
      <c r="I100" s="163">
        <f t="shared" si="16"/>
        <v>1975.3668350641774</v>
      </c>
      <c r="J100" s="163">
        <f t="shared" si="16"/>
        <v>5344.6455830466175</v>
      </c>
      <c r="K100" s="163">
        <f t="shared" si="16"/>
        <v>24598.096527264428</v>
      </c>
      <c r="L100" s="163">
        <f t="shared" si="16"/>
        <v>2512.3707426102837</v>
      </c>
      <c r="M100" s="163">
        <f t="shared" si="16"/>
        <v>5268.8953488372081</v>
      </c>
      <c r="N100" s="162">
        <f t="shared" si="11"/>
        <v>0.25784713877663984</v>
      </c>
      <c r="O100" s="162">
        <f t="shared" si="12"/>
        <v>0.37051929190923144</v>
      </c>
      <c r="P100" s="164">
        <f t="shared" si="13"/>
        <v>2.6057313860020859E-2</v>
      </c>
      <c r="Q100" s="164">
        <f t="shared" si="7"/>
        <v>4.2868506133348472E-2</v>
      </c>
      <c r="R100" s="166">
        <v>2.7213299999999999E-2</v>
      </c>
      <c r="S100" s="168">
        <f t="shared" si="14"/>
        <v>0.22598912881739341</v>
      </c>
      <c r="T100" s="168">
        <f t="shared" si="14"/>
        <v>-2.5027031873516514E-2</v>
      </c>
      <c r="U100" s="168">
        <f t="shared" si="14"/>
        <v>-0.13471423426136686</v>
      </c>
      <c r="V100" s="168">
        <f t="shared" si="14"/>
        <v>0.20062213458160927</v>
      </c>
      <c r="W100" s="168">
        <f t="shared" si="14"/>
        <v>-6.3954594158277089E-2</v>
      </c>
      <c r="X100" s="168">
        <f t="shared" si="14"/>
        <v>0.21723433550659532</v>
      </c>
    </row>
    <row r="101" spans="1:24">
      <c r="A101" s="161">
        <v>2010</v>
      </c>
      <c r="B101" s="162">
        <v>0.14821092278719414</v>
      </c>
      <c r="C101" s="162">
        <v>1.3844621513944221E-3</v>
      </c>
      <c r="D101" s="162">
        <v>8.4629338803557719E-2</v>
      </c>
      <c r="E101" s="162">
        <v>8.3478423659066131E-2</v>
      </c>
      <c r="F101" s="162">
        <v>-4.1180882252676021E-2</v>
      </c>
      <c r="G101" s="162">
        <v>0.29241379310344828</v>
      </c>
      <c r="H101" s="163">
        <f t="shared" si="16"/>
        <v>163441.93862372241</v>
      </c>
      <c r="I101" s="163">
        <f t="shared" si="16"/>
        <v>1978.1016556824434</v>
      </c>
      <c r="J101" s="163">
        <f t="shared" si="16"/>
        <v>5796.9594048792078</v>
      </c>
      <c r="K101" s="163">
        <f t="shared" si="16"/>
        <v>26651.506850374015</v>
      </c>
      <c r="L101" s="163">
        <f t="shared" si="16"/>
        <v>2408.9090988837816</v>
      </c>
      <c r="M101" s="163">
        <f t="shared" si="16"/>
        <v>6809.5930232558121</v>
      </c>
      <c r="N101" s="162">
        <f t="shared" si="11"/>
        <v>0.14682646063579971</v>
      </c>
      <c r="O101" s="162">
        <f t="shared" si="12"/>
        <v>6.3581583983636419E-2</v>
      </c>
      <c r="P101" s="164">
        <f t="shared" si="13"/>
        <v>6.4732499128128007E-2</v>
      </c>
      <c r="Q101" s="164">
        <f t="shared" si="7"/>
        <v>4.3108516433475463E-2</v>
      </c>
      <c r="R101" s="166">
        <v>1.4957199999999999E-2</v>
      </c>
      <c r="S101" s="168">
        <f t="shared" si="14"/>
        <v>0.13128999211710024</v>
      </c>
      <c r="T101" s="168">
        <f t="shared" si="14"/>
        <v>-1.3372719409848743E-2</v>
      </c>
      <c r="U101" s="168">
        <f t="shared" si="14"/>
        <v>6.8645395888178973E-2</v>
      </c>
      <c r="V101" s="168">
        <f t="shared" si="14"/>
        <v>6.7511441525875293E-2</v>
      </c>
      <c r="W101" s="168">
        <f t="shared" si="14"/>
        <v>-5.5310787738316436E-2</v>
      </c>
      <c r="X101" s="168">
        <f t="shared" si="14"/>
        <v>0.27336777659535616</v>
      </c>
    </row>
    <row r="102" spans="1:24">
      <c r="A102" s="161">
        <v>2011</v>
      </c>
      <c r="B102" s="162">
        <v>2.09837473362805E-2</v>
      </c>
      <c r="C102" s="162">
        <v>5.2839999999999994E-4</v>
      </c>
      <c r="D102" s="162">
        <v>0.16035334999461354</v>
      </c>
      <c r="E102" s="162">
        <v>0.12584514401372299</v>
      </c>
      <c r="F102" s="162">
        <v>-3.882528621204584E-2</v>
      </c>
      <c r="G102" s="162">
        <v>0.1202419067947349</v>
      </c>
      <c r="H102" s="163">
        <f t="shared" si="16"/>
        <v>166871.56296795449</v>
      </c>
      <c r="I102" s="163">
        <f t="shared" si="16"/>
        <v>1979.1468845973061</v>
      </c>
      <c r="J102" s="163">
        <f t="shared" si="16"/>
        <v>6726.5212652343698</v>
      </c>
      <c r="K102" s="163">
        <f t="shared" si="16"/>
        <v>30005.469568142056</v>
      </c>
      <c r="L102" s="163">
        <f t="shared" si="16"/>
        <v>2315.3825136608175</v>
      </c>
      <c r="M102" s="163">
        <f t="shared" si="16"/>
        <v>7628.3914728682148</v>
      </c>
      <c r="N102" s="162">
        <f t="shared" si="11"/>
        <v>2.0455347336280502E-2</v>
      </c>
      <c r="O102" s="162">
        <f t="shared" si="12"/>
        <v>-0.13936960265833304</v>
      </c>
      <c r="P102" s="164">
        <f t="shared" si="13"/>
        <v>-0.10486139667744249</v>
      </c>
      <c r="Q102" s="164">
        <f t="shared" si="7"/>
        <v>4.0970429004248521E-2</v>
      </c>
      <c r="R102" s="166">
        <v>2.96242E-2</v>
      </c>
      <c r="S102" s="168">
        <f t="shared" si="14"/>
        <v>-8.3918507973291812E-3</v>
      </c>
      <c r="T102" s="168">
        <f t="shared" si="14"/>
        <v>-2.825865981005482E-2</v>
      </c>
      <c r="U102" s="168">
        <f t="shared" si="14"/>
        <v>0.12696782961648867</v>
      </c>
      <c r="V102" s="168">
        <f t="shared" si="14"/>
        <v>9.3452488795157329E-2</v>
      </c>
      <c r="W102" s="168">
        <f t="shared" si="14"/>
        <v>-6.6480067399392717E-2</v>
      </c>
      <c r="X102" s="168">
        <f t="shared" si="14"/>
        <v>8.8010467114831625E-2</v>
      </c>
    </row>
    <row r="103" spans="1:24">
      <c r="A103" s="161">
        <v>2012</v>
      </c>
      <c r="B103" s="162">
        <v>0.15890585241730293</v>
      </c>
      <c r="C103" s="162">
        <v>8.7599999999999993E-4</v>
      </c>
      <c r="D103" s="162">
        <v>2.971571978018946E-2</v>
      </c>
      <c r="E103" s="162">
        <v>0.10124677875843502</v>
      </c>
      <c r="F103" s="162">
        <v>6.4363394244285166E-2</v>
      </c>
      <c r="G103" s="162">
        <v>5.6843442362654706E-2</v>
      </c>
      <c r="H103" s="163">
        <f t="shared" si="16"/>
        <v>193388.43092558492</v>
      </c>
      <c r="I103" s="163">
        <f t="shared" si="16"/>
        <v>1980.8806172682134</v>
      </c>
      <c r="J103" s="163">
        <f t="shared" si="16"/>
        <v>6926.4046862475598</v>
      </c>
      <c r="K103" s="163">
        <f t="shared" si="16"/>
        <v>33043.42670705069</v>
      </c>
      <c r="L103" s="163">
        <f t="shared" si="16"/>
        <v>2464.4083912138926</v>
      </c>
      <c r="M103" s="163">
        <f t="shared" si="16"/>
        <v>8062.0155038759658</v>
      </c>
      <c r="N103" s="162">
        <f t="shared" si="11"/>
        <v>0.15802985241730294</v>
      </c>
      <c r="O103" s="162">
        <f t="shared" si="12"/>
        <v>0.12919013263711346</v>
      </c>
      <c r="P103" s="164">
        <f t="shared" si="13"/>
        <v>5.765907365886791E-2</v>
      </c>
      <c r="Q103" s="164">
        <f t="shared" si="7"/>
        <v>4.1988275684727405E-2</v>
      </c>
      <c r="R103" s="166">
        <v>1.7410200000000001E-2</v>
      </c>
      <c r="S103" s="168">
        <f t="shared" si="14"/>
        <v>0.13907434033716459</v>
      </c>
      <c r="T103" s="168">
        <f t="shared" si="14"/>
        <v>-1.625126227356477E-2</v>
      </c>
      <c r="U103" s="168">
        <f t="shared" si="14"/>
        <v>1.2094944379552386E-2</v>
      </c>
      <c r="V103" s="168">
        <f t="shared" si="14"/>
        <v>8.2401944425596563E-2</v>
      </c>
      <c r="W103" s="168">
        <f t="shared" si="14"/>
        <v>4.6149718416706564E-2</v>
      </c>
      <c r="X103" s="168">
        <f t="shared" si="14"/>
        <v>3.8758449996525224E-2</v>
      </c>
    </row>
    <row r="104" spans="1:24">
      <c r="A104" s="161">
        <v>2013</v>
      </c>
      <c r="B104" s="162">
        <v>0.32145085858125483</v>
      </c>
      <c r="C104" s="162">
        <v>5.708E-4</v>
      </c>
      <c r="D104" s="162">
        <v>-9.104568794347262E-2</v>
      </c>
      <c r="E104" s="162">
        <v>-1.0559012069494618E-2</v>
      </c>
      <c r="F104" s="162">
        <v>0.10718009313963983</v>
      </c>
      <c r="G104" s="162">
        <v>-0.27614182692307687</v>
      </c>
      <c r="H104" s="163">
        <f t="shared" si="16"/>
        <v>255553.30808629587</v>
      </c>
      <c r="I104" s="163">
        <f t="shared" si="16"/>
        <v>1982.01130392455</v>
      </c>
      <c r="J104" s="163">
        <f t="shared" si="16"/>
        <v>6295.7854066132577</v>
      </c>
      <c r="K104" s="163">
        <f t="shared" si="16"/>
        <v>32694.520765633482</v>
      </c>
      <c r="L104" s="163">
        <f t="shared" si="16"/>
        <v>2728.5439121183076</v>
      </c>
      <c r="M104" s="163">
        <f t="shared" si="16"/>
        <v>5835.7558139534867</v>
      </c>
      <c r="N104" s="162">
        <f t="shared" si="11"/>
        <v>0.32088005858125485</v>
      </c>
      <c r="O104" s="162">
        <f t="shared" si="12"/>
        <v>0.41249654652472745</v>
      </c>
      <c r="P104" s="164">
        <f t="shared" si="13"/>
        <v>0.33200987065074944</v>
      </c>
      <c r="Q104" s="164">
        <f t="shared" si="7"/>
        <v>4.6176809418723153E-2</v>
      </c>
      <c r="R104" s="166">
        <v>1.50174E-2</v>
      </c>
      <c r="S104" s="168">
        <f t="shared" si="14"/>
        <v>0.30189970987813086</v>
      </c>
      <c r="T104" s="168">
        <f t="shared" si="14"/>
        <v>-1.4232859456399516E-2</v>
      </c>
      <c r="U104" s="168">
        <f t="shared" si="14"/>
        <v>-0.10449386182293308</v>
      </c>
      <c r="V104" s="168">
        <f t="shared" si="14"/>
        <v>-2.5198003570672478E-2</v>
      </c>
      <c r="W104" s="168">
        <f t="shared" si="14"/>
        <v>9.0799126339745184E-2</v>
      </c>
      <c r="X104" s="168">
        <f t="shared" si="14"/>
        <v>-0.28685146375133763</v>
      </c>
    </row>
    <row r="105" spans="1:24">
      <c r="A105" s="161">
        <v>2014</v>
      </c>
      <c r="B105" s="162">
        <v>0.13524421649462237</v>
      </c>
      <c r="C105" s="162">
        <v>3.2719999999999998E-4</v>
      </c>
      <c r="D105" s="162">
        <v>0.10746180452004755</v>
      </c>
      <c r="E105" s="162">
        <v>0.10384907822030469</v>
      </c>
      <c r="F105" s="162">
        <v>4.5137798982987087E-2</v>
      </c>
      <c r="G105" s="162">
        <v>1.2453300124533051E-3</v>
      </c>
      <c r="H105" s="163">
        <f t="shared" si="16"/>
        <v>290115.4150110358</v>
      </c>
      <c r="I105" s="163">
        <f t="shared" si="16"/>
        <v>1982.6598180231942</v>
      </c>
      <c r="J105" s="163">
        <f t="shared" si="16"/>
        <v>6972.3418672788994</v>
      </c>
      <c r="K105" s="163">
        <f t="shared" si="16"/>
        <v>36089.816609999129</v>
      </c>
      <c r="L105" s="163">
        <f t="shared" si="16"/>
        <v>2851.704378739757</v>
      </c>
      <c r="M105" s="163">
        <f t="shared" si="16"/>
        <v>5843.0232558139514</v>
      </c>
      <c r="N105" s="162">
        <f t="shared" si="11"/>
        <v>0.13491701649462237</v>
      </c>
      <c r="O105" s="162">
        <f t="shared" si="12"/>
        <v>2.7782411974574817E-2</v>
      </c>
      <c r="P105" s="164">
        <f t="shared" si="13"/>
        <v>3.1395138274317683E-2</v>
      </c>
      <c r="Q105" s="164">
        <f t="shared" si="7"/>
        <v>4.5975029375833421E-2</v>
      </c>
      <c r="R105" s="166">
        <v>7.5649000000000003E-3</v>
      </c>
      <c r="S105" s="168">
        <f t="shared" si="14"/>
        <v>0.12672068716826312</v>
      </c>
      <c r="T105" s="168">
        <f t="shared" si="14"/>
        <v>-7.1833586104477209E-3</v>
      </c>
      <c r="U105" s="168">
        <f t="shared" si="14"/>
        <v>9.9146868375473929E-2</v>
      </c>
      <c r="V105" s="168">
        <f t="shared" si="14"/>
        <v>9.5561266793141364E-2</v>
      </c>
      <c r="W105" s="168">
        <f t="shared" si="14"/>
        <v>3.7290797826509348E-2</v>
      </c>
      <c r="X105" s="168">
        <f t="shared" si="14"/>
        <v>-6.2721220117401E-3</v>
      </c>
    </row>
    <row r="106" spans="1:24">
      <c r="A106" s="169">
        <v>2015</v>
      </c>
      <c r="B106" s="162">
        <v>1.3788916411676138E-2</v>
      </c>
      <c r="C106" s="162">
        <v>5.2031872509960154E-4</v>
      </c>
      <c r="D106" s="162">
        <v>1.2842996709792224E-2</v>
      </c>
      <c r="E106" s="162">
        <v>-6.9751836790324859E-3</v>
      </c>
      <c r="F106" s="162">
        <v>5.2078327727054452E-2</v>
      </c>
      <c r="G106" s="162">
        <v>-0.12106135986733002</v>
      </c>
      <c r="H106" s="163">
        <f t="shared" si="16"/>
        <v>294115.79221836175</v>
      </c>
      <c r="I106" s="163">
        <f t="shared" si="16"/>
        <v>1983.6914330520142</v>
      </c>
      <c r="J106" s="163">
        <f t="shared" si="16"/>
        <v>7061.8876309399093</v>
      </c>
      <c r="K106" s="163">
        <f t="shared" si="16"/>
        <v>35838.083510201788</v>
      </c>
      <c r="L106" s="163">
        <f t="shared" si="16"/>
        <v>3000.2163739564421</v>
      </c>
      <c r="M106" s="163">
        <f t="shared" si="16"/>
        <v>5135.6589147286804</v>
      </c>
      <c r="N106" s="162">
        <f t="shared" si="11"/>
        <v>1.3268597686576535E-2</v>
      </c>
      <c r="O106" s="162">
        <f t="shared" si="12"/>
        <v>9.4591970188391376E-4</v>
      </c>
      <c r="P106" s="164">
        <f t="shared" si="13"/>
        <v>2.0764100090708622E-2</v>
      </c>
      <c r="Q106" s="164">
        <f t="shared" si="7"/>
        <v>4.5434457313765497E-2</v>
      </c>
      <c r="R106" s="166">
        <v>7.2951999999999991E-3</v>
      </c>
      <c r="S106" s="168">
        <f t="shared" si="14"/>
        <v>6.4466865440004906E-3</v>
      </c>
      <c r="T106" s="168">
        <f t="shared" si="14"/>
        <v>-6.7258151085207718E-3</v>
      </c>
      <c r="U106" s="168">
        <f t="shared" si="14"/>
        <v>5.5076175383266257E-3</v>
      </c>
      <c r="V106" s="168">
        <f t="shared" si="14"/>
        <v>-1.4167032344671537E-2</v>
      </c>
      <c r="W106" s="168">
        <f t="shared" si="14"/>
        <v>4.4458791948035259E-2</v>
      </c>
      <c r="X106" s="168">
        <f t="shared" si="14"/>
        <v>-0.12742695474705923</v>
      </c>
    </row>
    <row r="107" spans="1:24">
      <c r="A107" s="170">
        <v>2016</v>
      </c>
      <c r="B107" s="162">
        <v>0.11773080874798171</v>
      </c>
      <c r="C107" s="162">
        <v>3.1612000000000003E-3</v>
      </c>
      <c r="D107" s="162">
        <v>6.9055046987477921E-3</v>
      </c>
      <c r="E107" s="162">
        <v>0.10365105821793222</v>
      </c>
      <c r="F107" s="162">
        <v>5.3097345132743223E-2</v>
      </c>
      <c r="G107" s="162">
        <v>8.1037735849056602E-2</v>
      </c>
      <c r="H107" s="163">
        <f t="shared" si="16"/>
        <v>328742.28230178286</v>
      </c>
      <c r="I107" s="163">
        <f t="shared" si="16"/>
        <v>1989.9622784101784</v>
      </c>
      <c r="J107" s="163">
        <f t="shared" si="16"/>
        <v>7110.6535291573937</v>
      </c>
      <c r="K107" s="163">
        <f t="shared" si="16"/>
        <v>39552.73879053683</v>
      </c>
      <c r="L107" s="163">
        <f t="shared" si="16"/>
        <v>3159.5198982373149</v>
      </c>
      <c r="M107" s="163">
        <f t="shared" si="16"/>
        <v>5551.8410852713159</v>
      </c>
      <c r="N107" s="162">
        <f t="shared" si="11"/>
        <v>0.11456960874798171</v>
      </c>
      <c r="O107" s="162">
        <f t="shared" si="12"/>
        <v>0.11082530404923392</v>
      </c>
      <c r="P107" s="164">
        <f t="shared" si="13"/>
        <v>1.4079750530049492E-2</v>
      </c>
      <c r="Q107" s="164">
        <f t="shared" si="7"/>
        <v>4.6176501247687796E-2</v>
      </c>
      <c r="R107" s="166">
        <v>2.0746199999999999E-2</v>
      </c>
      <c r="S107" s="168">
        <f t="shared" si="14"/>
        <v>9.5013440900374446E-2</v>
      </c>
      <c r="T107" s="168">
        <f t="shared" si="14"/>
        <v>-1.7227592911930434E-2</v>
      </c>
      <c r="U107" s="168">
        <f t="shared" si="14"/>
        <v>-1.3559389494912866E-2</v>
      </c>
      <c r="V107" s="168">
        <f t="shared" si="14"/>
        <v>8.1219854864933216E-2</v>
      </c>
      <c r="W107" s="168">
        <f t="shared" si="14"/>
        <v>3.1693622893470552E-2</v>
      </c>
      <c r="X107" s="168">
        <f t="shared" si="14"/>
        <v>5.9066137938163843E-2</v>
      </c>
    </row>
    <row r="108" spans="1:24">
      <c r="A108" s="170">
        <v>2017</v>
      </c>
      <c r="B108" s="162">
        <v>0.2160548143449928</v>
      </c>
      <c r="C108" s="162">
        <v>9.3411999999999992E-3</v>
      </c>
      <c r="D108" s="162">
        <v>2.8017162707789457E-2</v>
      </c>
      <c r="E108" s="162">
        <v>9.7239019462488363E-2</v>
      </c>
      <c r="F108" s="162">
        <v>6.213065871509893E-2</v>
      </c>
      <c r="G108" s="162">
        <v>0.12662535997905566</v>
      </c>
      <c r="H108" s="163">
        <f t="shared" si="16"/>
        <v>399768.63507184375</v>
      </c>
      <c r="I108" s="163">
        <f t="shared" si="16"/>
        <v>2008.5509140452634</v>
      </c>
      <c r="J108" s="163">
        <f t="shared" si="16"/>
        <v>7309.8738660425133</v>
      </c>
      <c r="K108" s="163">
        <f t="shared" si="16"/>
        <v>43398.808327584557</v>
      </c>
      <c r="L108" s="163">
        <f t="shared" si="16"/>
        <v>3355.8229507382616</v>
      </c>
      <c r="M108" s="163">
        <f t="shared" si="16"/>
        <v>6254.8449612403074</v>
      </c>
      <c r="N108" s="162">
        <f t="shared" si="11"/>
        <v>0.2067136143449928</v>
      </c>
      <c r="O108" s="162">
        <f t="shared" si="12"/>
        <v>0.18803765163720335</v>
      </c>
      <c r="P108" s="164">
        <f t="shared" si="13"/>
        <v>0.11881579488250443</v>
      </c>
      <c r="Q108" s="164">
        <f t="shared" si="7"/>
        <v>4.7686840373502015E-2</v>
      </c>
      <c r="R108" s="166">
        <v>2.10908E-2</v>
      </c>
      <c r="S108" s="168">
        <f t="shared" si="14"/>
        <v>0.19093700025991089</v>
      </c>
      <c r="T108" s="168">
        <f t="shared" si="14"/>
        <v>-1.1506910061279685E-2</v>
      </c>
      <c r="U108" s="168">
        <f t="shared" si="14"/>
        <v>6.7832975361146186E-3</v>
      </c>
      <c r="V108" s="168">
        <f t="shared" si="14"/>
        <v>7.4575365347027134E-2</v>
      </c>
      <c r="W108" s="168">
        <f t="shared" si="14"/>
        <v>4.0192173619720162E-2</v>
      </c>
      <c r="X108" s="168">
        <f t="shared" si="14"/>
        <v>0.10335472612137497</v>
      </c>
    </row>
    <row r="109" spans="1:24">
      <c r="A109" s="170">
        <v>2018</v>
      </c>
      <c r="B109" s="162">
        <v>-4.2268692890885438E-2</v>
      </c>
      <c r="C109" s="162">
        <v>1.936305220883534E-2</v>
      </c>
      <c r="D109" s="162">
        <v>-1.6692385713402633E-4</v>
      </c>
      <c r="E109" s="162">
        <v>-2.7626282217172247E-2</v>
      </c>
      <c r="F109" s="162">
        <v>4.5326935837884719E-2</v>
      </c>
      <c r="G109" s="162">
        <v>-9.2951200619674212E-3</v>
      </c>
      <c r="H109" s="163">
        <f t="shared" si="16"/>
        <v>382870.93740858353</v>
      </c>
      <c r="I109" s="163">
        <f t="shared" si="16"/>
        <v>2047.4425902580256</v>
      </c>
      <c r="J109" s="163">
        <f t="shared" si="16"/>
        <v>7308.6536737016304</v>
      </c>
      <c r="K109" s="163">
        <f t="shared" si="16"/>
        <v>42199.860600837739</v>
      </c>
      <c r="L109" s="163">
        <f t="shared" si="16"/>
        <v>3507.9321223096758</v>
      </c>
      <c r="M109" s="163">
        <f t="shared" si="16"/>
        <v>6196.7054263565869</v>
      </c>
      <c r="N109" s="162">
        <f t="shared" si="11"/>
        <v>-6.1631745099720775E-2</v>
      </c>
      <c r="O109" s="162">
        <f t="shared" si="12"/>
        <v>-4.2101769033751416E-2</v>
      </c>
      <c r="P109" s="164">
        <f t="shared" si="13"/>
        <v>-1.4642410673713191E-2</v>
      </c>
      <c r="Q109" s="164">
        <f t="shared" si="7"/>
        <v>4.6608669094632571E-2</v>
      </c>
      <c r="R109" s="166">
        <v>1.91016E-2</v>
      </c>
      <c r="S109" s="168">
        <f t="shared" si="14"/>
        <v>-6.0219994641246166E-2</v>
      </c>
      <c r="T109" s="168">
        <f t="shared" si="14"/>
        <v>2.5655166161575593E-4</v>
      </c>
      <c r="U109" s="168">
        <f t="shared" si="14"/>
        <v>-1.8907362972577002E-2</v>
      </c>
      <c r="V109" s="168">
        <f t="shared" si="14"/>
        <v>-4.5852034985689571E-2</v>
      </c>
      <c r="W109" s="168">
        <f t="shared" si="14"/>
        <v>2.5733779475848984E-2</v>
      </c>
      <c r="X109" s="168">
        <f t="shared" si="14"/>
        <v>-2.7864464212368434E-2</v>
      </c>
    </row>
    <row r="110" spans="1:24">
      <c r="A110" s="161">
        <v>2019</v>
      </c>
      <c r="B110" s="162">
        <v>0.31211679996808755</v>
      </c>
      <c r="C110" s="162">
        <v>2.0624799999999999E-2</v>
      </c>
      <c r="D110" s="162">
        <v>9.6356307415483927E-2</v>
      </c>
      <c r="E110" s="162">
        <v>0.15329457562368487</v>
      </c>
      <c r="F110" s="162">
        <v>3.691586503247235E-2</v>
      </c>
      <c r="G110" s="162">
        <v>0.19077404222048466</v>
      </c>
      <c r="H110" s="163">
        <f t="shared" si="16"/>
        <v>502371.38919333258</v>
      </c>
      <c r="I110" s="163">
        <f t="shared" si="16"/>
        <v>2089.6706841935793</v>
      </c>
      <c r="J110" s="163">
        <f t="shared" si="16"/>
        <v>8012.8885538781296</v>
      </c>
      <c r="K110" s="163">
        <f t="shared" si="16"/>
        <v>48668.870323021823</v>
      </c>
      <c r="L110" s="163">
        <f t="shared" si="16"/>
        <v>3637.4304710799343</v>
      </c>
      <c r="M110" s="163">
        <f t="shared" si="16"/>
        <v>7378.8759689922445</v>
      </c>
      <c r="N110" s="162">
        <f t="shared" si="11"/>
        <v>0.29149199996808756</v>
      </c>
      <c r="O110" s="162">
        <f t="shared" si="12"/>
        <v>0.21576049255260363</v>
      </c>
      <c r="P110" s="164">
        <f t="shared" si="13"/>
        <v>0.15882222434440268</v>
      </c>
      <c r="Q110" s="164">
        <f t="shared" si="7"/>
        <v>4.8253684406804442E-2</v>
      </c>
      <c r="R110" s="166">
        <v>2.2851300000000001E-2</v>
      </c>
      <c r="S110" s="168">
        <f t="shared" si="14"/>
        <v>0.28280308190260661</v>
      </c>
      <c r="T110" s="168">
        <f t="shared" si="14"/>
        <v>-2.1767582443312783E-3</v>
      </c>
      <c r="U110" s="168">
        <f t="shared" si="14"/>
        <v>7.1862847918836348E-2</v>
      </c>
      <c r="V110" s="168">
        <f t="shared" si="14"/>
        <v>0.12752907057329366</v>
      </c>
      <c r="W110" s="168">
        <f t="shared" si="14"/>
        <v>1.3750351622442425E-2</v>
      </c>
      <c r="X110" s="168">
        <f t="shared" si="14"/>
        <v>0.16417121650085864</v>
      </c>
    </row>
    <row r="111" spans="1:24">
      <c r="A111" s="170">
        <v>2020</v>
      </c>
      <c r="B111" s="162">
        <v>0.18023201827422478</v>
      </c>
      <c r="C111" s="162">
        <v>3.547410358565737E-3</v>
      </c>
      <c r="D111" s="171">
        <v>0.1133189764661412</v>
      </c>
      <c r="E111" s="171">
        <v>0.10411537157111345</v>
      </c>
      <c r="F111" s="171">
        <v>0.10346126677654821</v>
      </c>
      <c r="G111" s="162">
        <v>0.24169402495075509</v>
      </c>
      <c r="H111" s="163">
        <f t="shared" si="16"/>
        <v>592914.79859087302</v>
      </c>
      <c r="I111" s="163">
        <f t="shared" si="16"/>
        <v>2097.0836036246787</v>
      </c>
      <c r="J111" s="163">
        <f t="shared" si="16"/>
        <v>8920.9008833408589</v>
      </c>
      <c r="K111" s="163">
        <f t="shared" si="16"/>
        <v>53736.047840649575</v>
      </c>
      <c r="L111" s="163">
        <f t="shared" si="16"/>
        <v>4013.7636354294809</v>
      </c>
      <c r="M111" s="163">
        <f t="shared" si="16"/>
        <v>9162.3062015503838</v>
      </c>
      <c r="N111" s="162">
        <f t="shared" si="11"/>
        <v>0.17668460791565904</v>
      </c>
      <c r="O111" s="162">
        <f t="shared" si="12"/>
        <v>6.6913041808083579E-2</v>
      </c>
      <c r="P111" s="172">
        <f t="shared" si="13"/>
        <v>7.6116646703111329E-2</v>
      </c>
      <c r="Q111" s="164">
        <f t="shared" si="7"/>
        <v>4.8442663414424603E-2</v>
      </c>
      <c r="R111" s="166">
        <v>1.36201E-2</v>
      </c>
      <c r="S111" s="173">
        <f t="shared" si="14"/>
        <v>0.16437313967454337</v>
      </c>
      <c r="T111" s="173">
        <f t="shared" si="14"/>
        <v>-9.93734204899277E-3</v>
      </c>
      <c r="U111" s="173">
        <f t="shared" si="14"/>
        <v>9.835921413371862E-2</v>
      </c>
      <c r="V111" s="173">
        <f t="shared" si="14"/>
        <v>8.927927886504361E-2</v>
      </c>
      <c r="W111" s="173">
        <f t="shared" si="14"/>
        <v>8.8633963332562349E-2</v>
      </c>
      <c r="X111" s="168">
        <f t="shared" si="14"/>
        <v>0.22500927610921995</v>
      </c>
    </row>
    <row r="112" spans="1:24">
      <c r="A112" s="170">
        <v>2021</v>
      </c>
      <c r="B112" s="162">
        <v>0.28468851751964158</v>
      </c>
      <c r="C112" s="162">
        <v>4.5019920318725102E-4</v>
      </c>
      <c r="D112" s="171">
        <v>-4.416034448604475E-2</v>
      </c>
      <c r="E112" s="171">
        <v>9.3344457198752777E-3</v>
      </c>
      <c r="F112" s="171">
        <v>0.18914305223625805</v>
      </c>
      <c r="G112" s="162">
        <v>-3.7544286394162185E-2</v>
      </c>
      <c r="H112" s="163">
        <f t="shared" si="16"/>
        <v>761710.83361716557</v>
      </c>
      <c r="I112" s="163">
        <f t="shared" si="16"/>
        <v>2098.0277089920478</v>
      </c>
      <c r="J112" s="163">
        <f t="shared" si="16"/>
        <v>8526.9508272066651</v>
      </c>
      <c r="K112" s="163">
        <f t="shared" si="16"/>
        <v>54237.644062418738</v>
      </c>
      <c r="L112" s="163">
        <f t="shared" si="16"/>
        <v>4772.9391403895124</v>
      </c>
      <c r="M112" s="163">
        <f t="shared" si="16"/>
        <v>8818.3139534883685</v>
      </c>
      <c r="N112" s="162">
        <f t="shared" si="11"/>
        <v>0.28423831831645435</v>
      </c>
      <c r="O112" s="162">
        <f t="shared" si="12"/>
        <v>0.3288488620056863</v>
      </c>
      <c r="P112" s="172">
        <f t="shared" si="13"/>
        <v>0.27535407179976629</v>
      </c>
      <c r="Q112" s="164">
        <f t="shared" si="7"/>
        <v>5.1322006296357525E-2</v>
      </c>
      <c r="R112" s="166">
        <v>7.0999999999999994E-2</v>
      </c>
      <c r="S112" s="173">
        <f t="shared" si="14"/>
        <v>0.19952242532179421</v>
      </c>
      <c r="T112" s="173">
        <f t="shared" si="14"/>
        <v>-6.5872829875642025E-2</v>
      </c>
      <c r="U112" s="173">
        <f t="shared" si="14"/>
        <v>-0.10752599858640965</v>
      </c>
      <c r="V112" s="173">
        <f t="shared" si="14"/>
        <v>-5.7577548347455432E-2</v>
      </c>
      <c r="W112" s="173">
        <f>(1+F112)/(1+$R112)-1</f>
        <v>0.11031097314309823</v>
      </c>
      <c r="X112" s="168">
        <f t="shared" si="14"/>
        <v>-0.10134854005057159</v>
      </c>
    </row>
    <row r="113" spans="1:25">
      <c r="A113" s="170">
        <v>2022</v>
      </c>
      <c r="B113" s="162">
        <v>-0.18008971545346592</v>
      </c>
      <c r="C113" s="162">
        <v>2.0247791164658632E-2</v>
      </c>
      <c r="D113" s="171">
        <v>-0.1782817153825067</v>
      </c>
      <c r="E113" s="171">
        <v>-0.14488298214231426</v>
      </c>
      <c r="F113" s="171">
        <v>7.3033304622452055E-2</v>
      </c>
      <c r="G113" s="162">
        <v>5.494203615185933E-3</v>
      </c>
      <c r="H113" s="163">
        <f>H112*(1+B113)</f>
        <v>624534.54633322789</v>
      </c>
      <c r="I113" s="163">
        <f>I112*(1+C113)</f>
        <v>2140.5081359013857</v>
      </c>
      <c r="J113" s="163">
        <f>J112*(1+D113)</f>
        <v>7006.751406749976</v>
      </c>
      <c r="K113" s="163">
        <f>K112*(1+E113)</f>
        <v>46379.532446282123</v>
      </c>
      <c r="L113" s="174">
        <f t="shared" si="16"/>
        <v>5121.5226585740038</v>
      </c>
      <c r="M113" s="163">
        <f t="shared" si="16"/>
        <v>8866.7635658914696</v>
      </c>
      <c r="N113" s="162">
        <f>B113-C113</f>
        <v>-0.20033750661812455</v>
      </c>
      <c r="O113" s="162">
        <f>B113-D113</f>
        <v>-1.8080000709592148E-3</v>
      </c>
      <c r="P113" s="172">
        <f t="shared" si="13"/>
        <v>-3.520673331115165E-2</v>
      </c>
      <c r="Q113" s="164">
        <f>((H113/100)^(1/(A113-$A$19+1)))-((J113/100)^(1/(A113-$A$19+1)))</f>
        <v>5.0613437213325563E-2</v>
      </c>
      <c r="R113" s="166">
        <v>6.4199999999999993E-2</v>
      </c>
      <c r="S113" s="173">
        <f t="shared" si="14"/>
        <v>-0.22955244827425858</v>
      </c>
      <c r="T113" s="173">
        <f t="shared" si="14"/>
        <v>-4.1300703660347216E-2</v>
      </c>
      <c r="U113" s="173">
        <f t="shared" si="14"/>
        <v>-0.22785351943479304</v>
      </c>
      <c r="V113" s="173">
        <f t="shared" si="14"/>
        <v>-0.19646963178191534</v>
      </c>
      <c r="W113" s="173">
        <f>(1+F113)/(1+$R113)-1</f>
        <v>8.3004177997105799E-3</v>
      </c>
      <c r="X113" s="173">
        <f t="shared" si="14"/>
        <v>-5.5164251442223367E-2</v>
      </c>
    </row>
    <row r="114" spans="1:25" ht="16" thickBot="1">
      <c r="J114" s="175"/>
      <c r="K114" s="176"/>
      <c r="L114" s="176"/>
      <c r="M114" s="177"/>
      <c r="R114" s="135"/>
      <c r="T114" s="134"/>
    </row>
    <row r="115" spans="1:25" ht="16" thickBot="1">
      <c r="A115" s="868" t="s">
        <v>3310</v>
      </c>
      <c r="B115" s="869"/>
      <c r="C115" s="869"/>
      <c r="D115" s="869"/>
      <c r="E115" s="869"/>
      <c r="F115" s="869"/>
      <c r="G115" s="870"/>
      <c r="H115" s="156"/>
      <c r="I115" s="155"/>
      <c r="J115" s="871" t="s">
        <v>3311</v>
      </c>
      <c r="K115" s="872"/>
      <c r="L115" s="873" t="s">
        <v>3312</v>
      </c>
      <c r="M115" s="874"/>
      <c r="R115" s="868" t="s">
        <v>3313</v>
      </c>
      <c r="S115" s="869"/>
      <c r="T115" s="869"/>
      <c r="U115" s="869"/>
      <c r="V115" s="869"/>
      <c r="W115" s="869"/>
      <c r="X115" s="870"/>
    </row>
    <row r="116" spans="1:25" ht="62">
      <c r="A116" s="178" t="s">
        <v>3314</v>
      </c>
      <c r="B116" s="179">
        <f t="shared" ref="B116:G116" si="17">AVERAGE(B19:B113)</f>
        <v>0.11506540881685207</v>
      </c>
      <c r="C116" s="179">
        <f t="shared" si="17"/>
        <v>3.3202392220251946E-2</v>
      </c>
      <c r="D116" s="179">
        <f t="shared" si="17"/>
        <v>4.8689804402703145E-2</v>
      </c>
      <c r="E116" s="179">
        <f t="shared" si="17"/>
        <v>6.957901972804012E-2</v>
      </c>
      <c r="F116" s="179">
        <f t="shared" si="17"/>
        <v>4.4156775308831817E-2</v>
      </c>
      <c r="G116" s="179">
        <f t="shared" si="17"/>
        <v>6.4835671280724233E-2</v>
      </c>
      <c r="H116" s="180"/>
      <c r="I116" s="180"/>
      <c r="J116" s="181" t="s">
        <v>3315</v>
      </c>
      <c r="K116" s="181" t="s">
        <v>3316</v>
      </c>
      <c r="L116" s="181" t="s">
        <v>3315</v>
      </c>
      <c r="M116" s="181" t="s">
        <v>3316</v>
      </c>
      <c r="R116" s="182"/>
      <c r="S116" s="183" t="s">
        <v>3304</v>
      </c>
      <c r="T116" s="183" t="s">
        <v>3305</v>
      </c>
      <c r="U116" s="183" t="s">
        <v>3306</v>
      </c>
      <c r="V116" s="183" t="s">
        <v>3307</v>
      </c>
      <c r="W116" s="183" t="s">
        <v>3308</v>
      </c>
      <c r="X116" s="183" t="s">
        <v>3309</v>
      </c>
    </row>
    <row r="117" spans="1:25">
      <c r="A117" s="184" t="s">
        <v>3317</v>
      </c>
      <c r="B117" s="185">
        <f t="shared" ref="B117:G117" si="18">AVERAGE(B64:B113)</f>
        <v>0.11731722766215238</v>
      </c>
      <c r="C117" s="185">
        <f t="shared" si="18"/>
        <v>4.3982767631977039E-2</v>
      </c>
      <c r="D117" s="185">
        <f t="shared" si="18"/>
        <v>6.5890064066559825E-2</v>
      </c>
      <c r="E117" s="185">
        <f t="shared" si="18"/>
        <v>8.771151838077447E-2</v>
      </c>
      <c r="F117" s="185">
        <f t="shared" si="18"/>
        <v>5.5352252479900305E-2</v>
      </c>
      <c r="G117" s="185">
        <f t="shared" si="18"/>
        <v>9.5565515608308824E-2</v>
      </c>
      <c r="H117" s="153"/>
      <c r="I117" s="153"/>
      <c r="J117" s="185">
        <f>B116-C116</f>
        <v>8.1863016596600113E-2</v>
      </c>
      <c r="K117" s="185">
        <f>B116-D116</f>
        <v>6.6375604414148914E-2</v>
      </c>
      <c r="L117" s="186">
        <f>STDEV(N19:N113)/(($A$113-$A$19+1)^0.5)</f>
        <v>2.0451216194855557E-2</v>
      </c>
      <c r="M117" s="186">
        <f>STDEV(O19:O113)/(($A$113-$A$19+1)^0.5)</f>
        <v>2.153129733232095E-2</v>
      </c>
      <c r="R117" s="184" t="s">
        <v>3314</v>
      </c>
      <c r="S117" s="186">
        <f t="shared" ref="S117:X117" si="19">AVERAGE(S19:S113)</f>
        <v>8.270328135678455E-2</v>
      </c>
      <c r="T117" s="186">
        <f t="shared" si="19"/>
        <v>3.0588479691521361E-3</v>
      </c>
      <c r="U117" s="186">
        <f t="shared" si="19"/>
        <v>1.8802733158138615E-2</v>
      </c>
      <c r="V117" s="186">
        <f t="shared" si="19"/>
        <v>3.9114399078047715E-2</v>
      </c>
      <c r="W117" s="186">
        <f t="shared" si="19"/>
        <v>1.2833087595511753E-2</v>
      </c>
      <c r="X117" s="186">
        <f t="shared" si="19"/>
        <v>3.2110962608032832E-2</v>
      </c>
    </row>
    <row r="118" spans="1:25">
      <c r="A118" s="184" t="s">
        <v>3318</v>
      </c>
      <c r="B118" s="185">
        <f t="shared" ref="B118:G118" si="20">AVERAGE(B104:B113)</f>
        <v>0.13589485419981304</v>
      </c>
      <c r="C118" s="185">
        <f t="shared" si="20"/>
        <v>7.8153971660346565E-3</v>
      </c>
      <c r="D118" s="185">
        <f t="shared" si="20"/>
        <v>5.1248080848844049E-3</v>
      </c>
      <c r="E118" s="185">
        <f t="shared" si="20"/>
        <v>3.814400887073853E-2</v>
      </c>
      <c r="F118" s="185">
        <f t="shared" si="20"/>
        <v>7.6750464820313891E-2</v>
      </c>
      <c r="G118" s="185">
        <f t="shared" si="20"/>
        <v>2.0282810338045475E-2</v>
      </c>
      <c r="H118" s="153"/>
      <c r="I118" s="153"/>
      <c r="J118" s="185">
        <f>B117-C117</f>
        <v>7.3334460030175352E-2</v>
      </c>
      <c r="K118" s="185">
        <f>B117-D117</f>
        <v>5.1427163595592559E-2</v>
      </c>
      <c r="L118" s="185">
        <f>STDEV(N64:N113)/(($A$113-$A$64+1)^0.5)</f>
        <v>2.5014006560067872E-2</v>
      </c>
      <c r="M118" s="185">
        <f>STDEV(O64:O113)/(($A$113-$A$64+1)^0.5)</f>
        <v>2.7530261522021229E-2</v>
      </c>
      <c r="R118" s="184" t="s">
        <v>3317</v>
      </c>
      <c r="S118" s="185">
        <f t="shared" ref="S118:X118" si="21">AVERAGE(S64:S113)</f>
        <v>7.5648476598111927E-2</v>
      </c>
      <c r="T118" s="185">
        <f t="shared" si="21"/>
        <v>3.9830912987976804E-3</v>
      </c>
      <c r="U118" s="185">
        <f t="shared" si="21"/>
        <v>2.6345368701936399E-2</v>
      </c>
      <c r="V118" s="185">
        <f t="shared" si="21"/>
        <v>4.7370831310150567E-2</v>
      </c>
      <c r="W118" s="185">
        <f t="shared" si="21"/>
        <v>1.4958161134044778E-2</v>
      </c>
      <c r="X118" s="185">
        <f t="shared" si="21"/>
        <v>5.0968496707347148E-2</v>
      </c>
    </row>
    <row r="119" spans="1:25" ht="16" thickBot="1">
      <c r="J119" s="185">
        <f>B118-C118</f>
        <v>0.12807945703377838</v>
      </c>
      <c r="K119" s="185">
        <f>B118-D118</f>
        <v>0.13077004611492862</v>
      </c>
      <c r="L119" s="185">
        <f>STDEV(N104:N113)/(($A$113-$A$104+1)^0.5)</f>
        <v>5.3131488504581721E-2</v>
      </c>
      <c r="M119" s="185">
        <f>STDEV(O104:O113)/(($A$113-$A$104+1)^0.5)</f>
        <v>4.8132440214345984E-2</v>
      </c>
      <c r="R119" s="184" t="s">
        <v>3318</v>
      </c>
      <c r="S119" s="185">
        <f t="shared" ref="S119:X119" si="22">AVERAGE(S104:S113)</f>
        <v>0.10779437287341191</v>
      </c>
      <c r="T119" s="185">
        <f t="shared" si="22"/>
        <v>-1.7590761831627565E-2</v>
      </c>
      <c r="U119" s="185">
        <f t="shared" si="22"/>
        <v>-1.906802868091555E-2</v>
      </c>
      <c r="V119" s="185">
        <f t="shared" si="22"/>
        <v>1.2890058541303462E-2</v>
      </c>
      <c r="W119" s="185">
        <f t="shared" si="22"/>
        <v>4.9116399800114306E-2</v>
      </c>
      <c r="X119" s="185">
        <f t="shared" si="22"/>
        <v>-5.3326439545682948E-3</v>
      </c>
    </row>
    <row r="120" spans="1:25" ht="16" thickBot="1">
      <c r="A120" s="868" t="s">
        <v>3319</v>
      </c>
      <c r="B120" s="869"/>
      <c r="C120" s="869"/>
      <c r="D120" s="869"/>
      <c r="E120" s="869"/>
      <c r="F120" s="869"/>
      <c r="G120" s="870"/>
      <c r="H120" s="156"/>
      <c r="I120" s="156"/>
      <c r="K120" s="187" t="s">
        <v>3311</v>
      </c>
      <c r="L120" s="187"/>
      <c r="M120" s="187"/>
      <c r="T120" s="134"/>
      <c r="Y120" s="188"/>
    </row>
    <row r="121" spans="1:25">
      <c r="A121" s="178" t="s">
        <v>3314</v>
      </c>
      <c r="B121" s="189">
        <f t="shared" ref="B121:G121" si="23">(H113/100)^(1/($A$113-$A$19+1))-1</f>
        <v>9.6360110485247841E-2</v>
      </c>
      <c r="C121" s="189">
        <f t="shared" si="23"/>
        <v>3.2774344351723661E-2</v>
      </c>
      <c r="D121" s="189">
        <f t="shared" si="23"/>
        <v>4.5746673271922278E-2</v>
      </c>
      <c r="E121" s="189">
        <f t="shared" si="23"/>
        <v>6.6759682211323002E-2</v>
      </c>
      <c r="F121" s="189">
        <f t="shared" si="23"/>
        <v>4.2302248677857923E-2</v>
      </c>
      <c r="G121" s="189">
        <f t="shared" si="23"/>
        <v>4.8341530311630798E-2</v>
      </c>
      <c r="H121" s="190"/>
      <c r="I121" s="190"/>
      <c r="J121" s="191" t="s">
        <v>3315</v>
      </c>
      <c r="K121" s="191" t="s">
        <v>3316</v>
      </c>
      <c r="T121" s="188"/>
      <c r="U121" s="188"/>
      <c r="V121" s="188"/>
      <c r="W121" s="188"/>
      <c r="X121" s="188"/>
      <c r="Y121" s="188"/>
    </row>
    <row r="122" spans="1:25">
      <c r="A122" s="184" t="s">
        <v>3317</v>
      </c>
      <c r="B122" s="192">
        <f t="shared" ref="B122:G122" si="24">(H113/H63)^(1/($A$113-$A$63))-1</f>
        <v>0.10244207952869133</v>
      </c>
      <c r="C122" s="192">
        <f t="shared" si="24"/>
        <v>4.3425241180417018E-2</v>
      </c>
      <c r="D122" s="192">
        <f t="shared" si="24"/>
        <v>6.1202494941573704E-2</v>
      </c>
      <c r="E122" s="192">
        <f t="shared" si="24"/>
        <v>8.4345434501160277E-2</v>
      </c>
      <c r="F122" s="192">
        <f t="shared" si="24"/>
        <v>5.3784847565350624E-2</v>
      </c>
      <c r="G122" s="192">
        <f t="shared" si="24"/>
        <v>6.9066208711503485E-2</v>
      </c>
      <c r="H122" s="190"/>
      <c r="I122" s="190"/>
      <c r="J122" s="185">
        <f>B121-C121</f>
        <v>6.358576613352418E-2</v>
      </c>
      <c r="K122" s="185">
        <f>B121-D121</f>
        <v>5.0613437213325563E-2</v>
      </c>
      <c r="L122" s="193"/>
      <c r="M122" s="193"/>
      <c r="T122" s="188"/>
      <c r="U122" s="188"/>
      <c r="V122" s="188"/>
      <c r="W122" s="188"/>
      <c r="X122" s="188"/>
      <c r="Y122" s="188"/>
    </row>
    <row r="123" spans="1:25">
      <c r="A123" s="184" t="s">
        <v>3318</v>
      </c>
      <c r="B123" s="192">
        <f t="shared" ref="B123:G123" si="25">(H113/H103)^(1/($A$113-$A$103))-1</f>
        <v>0.12437866854698409</v>
      </c>
      <c r="C123" s="192">
        <f t="shared" si="25"/>
        <v>7.7802848895967003E-3</v>
      </c>
      <c r="D123" s="192">
        <f t="shared" si="25"/>
        <v>1.1539950036607571E-3</v>
      </c>
      <c r="E123" s="192">
        <f t="shared" si="25"/>
        <v>3.4484835545236514E-2</v>
      </c>
      <c r="F123" s="192">
        <f t="shared" si="25"/>
        <v>7.5891910100448046E-2</v>
      </c>
      <c r="G123" s="192">
        <f t="shared" si="25"/>
        <v>9.560034737367884E-3</v>
      </c>
      <c r="H123" s="190"/>
      <c r="I123" s="190"/>
      <c r="J123" s="185">
        <f>B122-C122</f>
        <v>5.9016838348274314E-2</v>
      </c>
      <c r="K123" s="185">
        <f>B122-D122</f>
        <v>4.1239584587117628E-2</v>
      </c>
      <c r="L123" s="193"/>
      <c r="M123" s="193"/>
      <c r="T123" s="188"/>
      <c r="U123" s="188"/>
      <c r="V123" s="188"/>
      <c r="W123" s="188"/>
      <c r="X123" s="188"/>
      <c r="Y123" s="188"/>
    </row>
    <row r="124" spans="1:25">
      <c r="J124" s="185">
        <f>B123-C123</f>
        <v>0.11659838365738739</v>
      </c>
      <c r="K124" s="185">
        <f>B123-D123</f>
        <v>0.12322467354332334</v>
      </c>
      <c r="L124" s="193"/>
      <c r="M124" s="193"/>
      <c r="T124" s="188"/>
      <c r="U124" s="188"/>
      <c r="V124" s="188"/>
      <c r="W124" s="188"/>
      <c r="X124" s="188"/>
    </row>
    <row r="125" spans="1:25">
      <c r="A125" s="134" t="s">
        <v>3320</v>
      </c>
    </row>
    <row r="126" spans="1:25">
      <c r="A126" s="134" t="s">
        <v>3321</v>
      </c>
    </row>
  </sheetData>
  <mergeCells count="17">
    <mergeCell ref="R17:W17"/>
    <mergeCell ref="B1:I1"/>
    <mergeCell ref="B2:I2"/>
    <mergeCell ref="B3:E3"/>
    <mergeCell ref="H3:I3"/>
    <mergeCell ref="B4:I4"/>
    <mergeCell ref="B5:I5"/>
    <mergeCell ref="B6:I6"/>
    <mergeCell ref="B7:I7"/>
    <mergeCell ref="B17:E17"/>
    <mergeCell ref="H17:M17"/>
    <mergeCell ref="N17:Q17"/>
    <mergeCell ref="A115:G115"/>
    <mergeCell ref="J115:K115"/>
    <mergeCell ref="L115:M115"/>
    <mergeCell ref="R115:X115"/>
    <mergeCell ref="A120:G120"/>
  </mergeCells>
  <hyperlinks>
    <hyperlink ref="B2" r:id="rId1" xr:uid="{6479DA1E-8DB3-4899-83B3-1EF745E2B90C}"/>
    <hyperlink ref="B4" r:id="rId2" xr:uid="{4126B444-0B7A-4053-9FA7-5C1D919A47DB}"/>
  </hyperlinks>
  <printOptions gridLines="1" gridLinesSet="0"/>
  <pageMargins left="0.75" right="0.75" top="1" bottom="1" header="0.5" footer="0.5"/>
  <pageSetup orientation="portrait" horizontalDpi="4294967292" verticalDpi="4294967292"/>
  <headerFooter alignWithMargins="0">
    <oddHeader>&amp;A</oddHeader>
    <oddFooter>Page &amp;P</oddFooter>
  </headerFooter>
  <legacyDrawing r:id="rId3"/>
  <tableParts count="1">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10C0B-F2F6-4673-81EC-E5509F3F71A8}">
  <dimension ref="A1:I31"/>
  <sheetViews>
    <sheetView workbookViewId="0">
      <selection activeCell="A18" sqref="A18"/>
    </sheetView>
  </sheetViews>
  <sheetFormatPr baseColWidth="10" defaultColWidth="11.453125" defaultRowHeight="14.5"/>
  <cols>
    <col min="8" max="8" width="60.26953125" customWidth="1"/>
    <col min="9" max="9" width="44.1796875" customWidth="1"/>
  </cols>
  <sheetData>
    <row r="1" spans="1:9">
      <c r="A1" s="194" t="s">
        <v>2822</v>
      </c>
      <c r="B1" s="194" t="s">
        <v>3322</v>
      </c>
      <c r="C1" s="194" t="s">
        <v>3323</v>
      </c>
      <c r="D1" s="194"/>
      <c r="H1" s="896" t="s">
        <v>3324</v>
      </c>
      <c r="I1" s="896"/>
    </row>
    <row r="2" spans="1:9" ht="17">
      <c r="A2" s="195">
        <v>2022</v>
      </c>
      <c r="B2" s="196">
        <v>3.69</v>
      </c>
      <c r="C2" s="197">
        <f t="shared" ref="C2:C16" si="0">B2/100</f>
        <v>3.6900000000000002E-2</v>
      </c>
      <c r="D2" s="196">
        <f t="shared" ref="D2:D16" si="1">100*(1+C2)</f>
        <v>103.69</v>
      </c>
      <c r="H2" s="198" t="s">
        <v>3325</v>
      </c>
      <c r="I2" s="198" t="s">
        <v>3326</v>
      </c>
    </row>
    <row r="3" spans="1:9" ht="17">
      <c r="A3" s="195">
        <v>2021</v>
      </c>
      <c r="B3" s="196">
        <v>3.53</v>
      </c>
      <c r="C3" s="197">
        <f t="shared" si="0"/>
        <v>3.5299999999999998E-2</v>
      </c>
      <c r="D3" s="196">
        <f t="shared" si="1"/>
        <v>103.52999999999999</v>
      </c>
      <c r="H3" s="199" t="s">
        <v>3327</v>
      </c>
      <c r="I3" s="200">
        <v>0</v>
      </c>
    </row>
    <row r="4" spans="1:9" ht="17">
      <c r="A4" s="195">
        <v>2020</v>
      </c>
      <c r="B4" s="196">
        <v>2.06</v>
      </c>
      <c r="C4" s="197">
        <f t="shared" si="0"/>
        <v>2.06E-2</v>
      </c>
      <c r="D4" s="196">
        <f t="shared" si="1"/>
        <v>102.06</v>
      </c>
      <c r="H4" s="199" t="s">
        <v>3328</v>
      </c>
      <c r="I4" s="200">
        <v>1.04E-2</v>
      </c>
    </row>
    <row r="5" spans="1:9" ht="17">
      <c r="A5" s="195">
        <v>2019</v>
      </c>
      <c r="B5" s="196">
        <v>1.61</v>
      </c>
      <c r="C5" s="197">
        <f t="shared" si="0"/>
        <v>1.61E-2</v>
      </c>
      <c r="D5" s="196">
        <f t="shared" si="1"/>
        <v>101.61</v>
      </c>
      <c r="H5" s="199" t="s">
        <v>3329</v>
      </c>
      <c r="I5" s="200">
        <v>1.7500000000000002E-2</v>
      </c>
    </row>
    <row r="6" spans="1:9" ht="17">
      <c r="A6" s="195">
        <v>2018</v>
      </c>
      <c r="B6" s="196">
        <v>2.2768700000000002</v>
      </c>
      <c r="C6" s="197">
        <f t="shared" si="0"/>
        <v>2.2768700000000003E-2</v>
      </c>
      <c r="D6" s="196">
        <f t="shared" si="1"/>
        <v>102.27687</v>
      </c>
      <c r="H6" s="199" t="s">
        <v>3330</v>
      </c>
      <c r="I6" s="201">
        <v>3.4700000000000002E-2</v>
      </c>
    </row>
    <row r="7" spans="1:9">
      <c r="A7" s="195">
        <v>2017</v>
      </c>
      <c r="B7" s="196">
        <v>1.72512</v>
      </c>
      <c r="C7" s="197">
        <f t="shared" si="0"/>
        <v>1.7251200000000001E-2</v>
      </c>
      <c r="D7" s="196">
        <f t="shared" si="1"/>
        <v>101.72512</v>
      </c>
    </row>
    <row r="8" spans="1:9">
      <c r="A8" s="195">
        <v>2016</v>
      </c>
      <c r="B8" s="196">
        <v>2.2487400000000002</v>
      </c>
      <c r="C8" s="197">
        <f t="shared" si="0"/>
        <v>2.2487400000000001E-2</v>
      </c>
      <c r="D8" s="196">
        <f t="shared" si="1"/>
        <v>102.24874</v>
      </c>
    </row>
    <row r="9" spans="1:9">
      <c r="A9" s="195">
        <v>2015</v>
      </c>
      <c r="B9" s="196">
        <v>3.1718099999999998</v>
      </c>
      <c r="C9" s="197">
        <f t="shared" si="0"/>
        <v>3.1718099999999999E-2</v>
      </c>
      <c r="D9" s="196">
        <f t="shared" si="1"/>
        <v>103.17180999999999</v>
      </c>
    </row>
    <row r="10" spans="1:9">
      <c r="A10" s="195">
        <v>2014</v>
      </c>
      <c r="B10" s="196">
        <v>1.9614400000000001</v>
      </c>
      <c r="C10" s="197">
        <f t="shared" si="0"/>
        <v>1.9614400000000001E-2</v>
      </c>
      <c r="D10" s="196">
        <f t="shared" si="1"/>
        <v>101.96144000000001</v>
      </c>
    </row>
    <row r="11" spans="1:9">
      <c r="A11" s="195">
        <v>2013</v>
      </c>
      <c r="B11" s="196">
        <v>1.6319600000000001</v>
      </c>
      <c r="C11" s="197">
        <f t="shared" si="0"/>
        <v>1.63196E-2</v>
      </c>
      <c r="D11" s="196">
        <f t="shared" si="1"/>
        <v>101.63196000000001</v>
      </c>
    </row>
    <row r="12" spans="1:9">
      <c r="A12" s="195">
        <v>2012</v>
      </c>
      <c r="B12" s="196">
        <v>1.1201000000000001</v>
      </c>
      <c r="C12" s="202">
        <f t="shared" si="0"/>
        <v>1.1201000000000001E-2</v>
      </c>
      <c r="D12" s="196">
        <f t="shared" si="1"/>
        <v>101.12010000000001</v>
      </c>
    </row>
    <row r="13" spans="1:9">
      <c r="A13" s="195">
        <v>2011</v>
      </c>
      <c r="B13" s="196">
        <v>1.9096200000000001</v>
      </c>
      <c r="C13" s="202">
        <f t="shared" si="0"/>
        <v>1.9096200000000001E-2</v>
      </c>
      <c r="D13" s="196">
        <f t="shared" si="1"/>
        <v>101.90961999999999</v>
      </c>
    </row>
    <row r="14" spans="1:9">
      <c r="A14" s="195">
        <v>2010</v>
      </c>
      <c r="B14" s="196">
        <v>1.7195800000000001</v>
      </c>
      <c r="C14" s="202">
        <f t="shared" si="0"/>
        <v>1.7195800000000001E-2</v>
      </c>
      <c r="D14" s="196">
        <f t="shared" si="1"/>
        <v>101.71958000000001</v>
      </c>
    </row>
    <row r="15" spans="1:9">
      <c r="A15" s="195">
        <v>2009</v>
      </c>
      <c r="B15" s="196">
        <v>1.9821299999999999</v>
      </c>
      <c r="C15" s="202">
        <f t="shared" si="0"/>
        <v>1.98213E-2</v>
      </c>
      <c r="D15" s="196">
        <f t="shared" si="1"/>
        <v>101.98213</v>
      </c>
    </row>
    <row r="16" spans="1:9">
      <c r="A16" s="195">
        <v>2008</v>
      </c>
      <c r="B16" s="196">
        <v>4.9800000000000004</v>
      </c>
      <c r="C16" s="202">
        <f t="shared" si="0"/>
        <v>4.9800000000000004E-2</v>
      </c>
      <c r="D16" s="196">
        <f t="shared" si="1"/>
        <v>104.98</v>
      </c>
    </row>
    <row r="18" spans="1:6">
      <c r="A18" s="203" t="s">
        <v>3331</v>
      </c>
    </row>
    <row r="26" spans="1:6">
      <c r="F26" s="20"/>
    </row>
    <row r="27" spans="1:6">
      <c r="F27" s="10"/>
    </row>
    <row r="28" spans="1:6">
      <c r="F28" s="20"/>
    </row>
    <row r="29" spans="1:6">
      <c r="F29" s="20"/>
    </row>
    <row r="30" spans="1:6">
      <c r="F30" s="20"/>
    </row>
    <row r="31" spans="1:6">
      <c r="F31" s="20"/>
    </row>
  </sheetData>
  <mergeCells count="1">
    <mergeCell ref="H1:I1"/>
  </mergeCells>
  <hyperlinks>
    <hyperlink ref="A18" r:id="rId1" xr:uid="{B4F2856B-8070-416F-B29A-4DA4A9B7AA29}"/>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082FC-315C-4CB7-B8FA-9F782AC7A6FA}">
  <sheetPr>
    <pageSetUpPr fitToPage="1"/>
  </sheetPr>
  <dimension ref="A1:S811"/>
  <sheetViews>
    <sheetView showGridLines="0" showRowColHeaders="0" zoomScaleNormal="100" workbookViewId="0">
      <pane xSplit="1" ySplit="4" topLeftCell="B14" activePane="bottomRight" state="frozen"/>
      <selection pane="topRight" activeCell="A28" sqref="A28"/>
      <selection pane="bottomLeft" activeCell="A28" sqref="A28"/>
      <selection pane="bottomRight" activeCell="E21" sqref="E21"/>
    </sheetView>
  </sheetViews>
  <sheetFormatPr baseColWidth="10" defaultColWidth="11.453125" defaultRowHeight="14.5"/>
  <cols>
    <col min="2" max="2" width="14.453125" bestFit="1" customWidth="1"/>
    <col min="4" max="4" width="14.7265625" customWidth="1"/>
    <col min="5" max="5" width="12.26953125" customWidth="1"/>
    <col min="6" max="6" width="13.54296875" customWidth="1"/>
    <col min="7" max="7" width="12.26953125" customWidth="1"/>
    <col min="8" max="8" width="12.54296875" customWidth="1"/>
    <col min="11" max="11" width="12.81640625" style="206" customWidth="1"/>
    <col min="12" max="18" width="11.453125" style="206" customWidth="1"/>
    <col min="258" max="258" width="14.453125" bestFit="1" customWidth="1"/>
    <col min="260" max="260" width="14.7265625" customWidth="1"/>
    <col min="261" max="261" width="12.26953125" customWidth="1"/>
    <col min="262" max="262" width="13.54296875" customWidth="1"/>
    <col min="263" max="263" width="12.26953125" customWidth="1"/>
    <col min="264" max="264" width="12.54296875" customWidth="1"/>
    <col min="267" max="267" width="12.81640625" customWidth="1"/>
    <col min="268" max="274" width="11.453125" customWidth="1"/>
    <col min="514" max="514" width="14.453125" bestFit="1" customWidth="1"/>
    <col min="516" max="516" width="14.7265625" customWidth="1"/>
    <col min="517" max="517" width="12.26953125" customWidth="1"/>
    <col min="518" max="518" width="13.54296875" customWidth="1"/>
    <col min="519" max="519" width="12.26953125" customWidth="1"/>
    <col min="520" max="520" width="12.54296875" customWidth="1"/>
    <col min="523" max="523" width="12.81640625" customWidth="1"/>
    <col min="524" max="530" width="11.453125" customWidth="1"/>
    <col min="770" max="770" width="14.453125" bestFit="1" customWidth="1"/>
    <col min="772" max="772" width="14.7265625" customWidth="1"/>
    <col min="773" max="773" width="12.26953125" customWidth="1"/>
    <col min="774" max="774" width="13.54296875" customWidth="1"/>
    <col min="775" max="775" width="12.26953125" customWidth="1"/>
    <col min="776" max="776" width="12.54296875" customWidth="1"/>
    <col min="779" max="779" width="12.81640625" customWidth="1"/>
    <col min="780" max="786" width="11.453125" customWidth="1"/>
    <col min="1026" max="1026" width="14.453125" bestFit="1" customWidth="1"/>
    <col min="1028" max="1028" width="14.7265625" customWidth="1"/>
    <col min="1029" max="1029" width="12.26953125" customWidth="1"/>
    <col min="1030" max="1030" width="13.54296875" customWidth="1"/>
    <col min="1031" max="1031" width="12.26953125" customWidth="1"/>
    <col min="1032" max="1032" width="12.54296875" customWidth="1"/>
    <col min="1035" max="1035" width="12.81640625" customWidth="1"/>
    <col min="1036" max="1042" width="11.453125" customWidth="1"/>
    <col min="1282" max="1282" width="14.453125" bestFit="1" customWidth="1"/>
    <col min="1284" max="1284" width="14.7265625" customWidth="1"/>
    <col min="1285" max="1285" width="12.26953125" customWidth="1"/>
    <col min="1286" max="1286" width="13.54296875" customWidth="1"/>
    <col min="1287" max="1287" width="12.26953125" customWidth="1"/>
    <col min="1288" max="1288" width="12.54296875" customWidth="1"/>
    <col min="1291" max="1291" width="12.81640625" customWidth="1"/>
    <col min="1292" max="1298" width="11.453125" customWidth="1"/>
    <col min="1538" max="1538" width="14.453125" bestFit="1" customWidth="1"/>
    <col min="1540" max="1540" width="14.7265625" customWidth="1"/>
    <col min="1541" max="1541" width="12.26953125" customWidth="1"/>
    <col min="1542" max="1542" width="13.54296875" customWidth="1"/>
    <col min="1543" max="1543" width="12.26953125" customWidth="1"/>
    <col min="1544" max="1544" width="12.54296875" customWidth="1"/>
    <col min="1547" max="1547" width="12.81640625" customWidth="1"/>
    <col min="1548" max="1554" width="11.453125" customWidth="1"/>
    <col min="1794" max="1794" width="14.453125" bestFit="1" customWidth="1"/>
    <col min="1796" max="1796" width="14.7265625" customWidth="1"/>
    <col min="1797" max="1797" width="12.26953125" customWidth="1"/>
    <col min="1798" max="1798" width="13.54296875" customWidth="1"/>
    <col min="1799" max="1799" width="12.26953125" customWidth="1"/>
    <col min="1800" max="1800" width="12.54296875" customWidth="1"/>
    <col min="1803" max="1803" width="12.81640625" customWidth="1"/>
    <col min="1804" max="1810" width="11.453125" customWidth="1"/>
    <col min="2050" max="2050" width="14.453125" bestFit="1" customWidth="1"/>
    <col min="2052" max="2052" width="14.7265625" customWidth="1"/>
    <col min="2053" max="2053" width="12.26953125" customWidth="1"/>
    <col min="2054" max="2054" width="13.54296875" customWidth="1"/>
    <col min="2055" max="2055" width="12.26953125" customWidth="1"/>
    <col min="2056" max="2056" width="12.54296875" customWidth="1"/>
    <col min="2059" max="2059" width="12.81640625" customWidth="1"/>
    <col min="2060" max="2066" width="11.453125" customWidth="1"/>
    <col min="2306" max="2306" width="14.453125" bestFit="1" customWidth="1"/>
    <col min="2308" max="2308" width="14.7265625" customWidth="1"/>
    <col min="2309" max="2309" width="12.26953125" customWidth="1"/>
    <col min="2310" max="2310" width="13.54296875" customWidth="1"/>
    <col min="2311" max="2311" width="12.26953125" customWidth="1"/>
    <col min="2312" max="2312" width="12.54296875" customWidth="1"/>
    <col min="2315" max="2315" width="12.81640625" customWidth="1"/>
    <col min="2316" max="2322" width="11.453125" customWidth="1"/>
    <col min="2562" max="2562" width="14.453125" bestFit="1" customWidth="1"/>
    <col min="2564" max="2564" width="14.7265625" customWidth="1"/>
    <col min="2565" max="2565" width="12.26953125" customWidth="1"/>
    <col min="2566" max="2566" width="13.54296875" customWidth="1"/>
    <col min="2567" max="2567" width="12.26953125" customWidth="1"/>
    <col min="2568" max="2568" width="12.54296875" customWidth="1"/>
    <col min="2571" max="2571" width="12.81640625" customWidth="1"/>
    <col min="2572" max="2578" width="11.453125" customWidth="1"/>
    <col min="2818" max="2818" width="14.453125" bestFit="1" customWidth="1"/>
    <col min="2820" max="2820" width="14.7265625" customWidth="1"/>
    <col min="2821" max="2821" width="12.26953125" customWidth="1"/>
    <col min="2822" max="2822" width="13.54296875" customWidth="1"/>
    <col min="2823" max="2823" width="12.26953125" customWidth="1"/>
    <col min="2824" max="2824" width="12.54296875" customWidth="1"/>
    <col min="2827" max="2827" width="12.81640625" customWidth="1"/>
    <col min="2828" max="2834" width="11.453125" customWidth="1"/>
    <col min="3074" max="3074" width="14.453125" bestFit="1" customWidth="1"/>
    <col min="3076" max="3076" width="14.7265625" customWidth="1"/>
    <col min="3077" max="3077" width="12.26953125" customWidth="1"/>
    <col min="3078" max="3078" width="13.54296875" customWidth="1"/>
    <col min="3079" max="3079" width="12.26953125" customWidth="1"/>
    <col min="3080" max="3080" width="12.54296875" customWidth="1"/>
    <col min="3083" max="3083" width="12.81640625" customWidth="1"/>
    <col min="3084" max="3090" width="11.453125" customWidth="1"/>
    <col min="3330" max="3330" width="14.453125" bestFit="1" customWidth="1"/>
    <col min="3332" max="3332" width="14.7265625" customWidth="1"/>
    <col min="3333" max="3333" width="12.26953125" customWidth="1"/>
    <col min="3334" max="3334" width="13.54296875" customWidth="1"/>
    <col min="3335" max="3335" width="12.26953125" customWidth="1"/>
    <col min="3336" max="3336" width="12.54296875" customWidth="1"/>
    <col min="3339" max="3339" width="12.81640625" customWidth="1"/>
    <col min="3340" max="3346" width="11.453125" customWidth="1"/>
    <col min="3586" max="3586" width="14.453125" bestFit="1" customWidth="1"/>
    <col min="3588" max="3588" width="14.7265625" customWidth="1"/>
    <col min="3589" max="3589" width="12.26953125" customWidth="1"/>
    <col min="3590" max="3590" width="13.54296875" customWidth="1"/>
    <col min="3591" max="3591" width="12.26953125" customWidth="1"/>
    <col min="3592" max="3592" width="12.54296875" customWidth="1"/>
    <col min="3595" max="3595" width="12.81640625" customWidth="1"/>
    <col min="3596" max="3602" width="11.453125" customWidth="1"/>
    <col min="3842" max="3842" width="14.453125" bestFit="1" customWidth="1"/>
    <col min="3844" max="3844" width="14.7265625" customWidth="1"/>
    <col min="3845" max="3845" width="12.26953125" customWidth="1"/>
    <col min="3846" max="3846" width="13.54296875" customWidth="1"/>
    <col min="3847" max="3847" width="12.26953125" customWidth="1"/>
    <col min="3848" max="3848" width="12.54296875" customWidth="1"/>
    <col min="3851" max="3851" width="12.81640625" customWidth="1"/>
    <col min="3852" max="3858" width="11.453125" customWidth="1"/>
    <col min="4098" max="4098" width="14.453125" bestFit="1" customWidth="1"/>
    <col min="4100" max="4100" width="14.7265625" customWidth="1"/>
    <col min="4101" max="4101" width="12.26953125" customWidth="1"/>
    <col min="4102" max="4102" width="13.54296875" customWidth="1"/>
    <col min="4103" max="4103" width="12.26953125" customWidth="1"/>
    <col min="4104" max="4104" width="12.54296875" customWidth="1"/>
    <col min="4107" max="4107" width="12.81640625" customWidth="1"/>
    <col min="4108" max="4114" width="11.453125" customWidth="1"/>
    <col min="4354" max="4354" width="14.453125" bestFit="1" customWidth="1"/>
    <col min="4356" max="4356" width="14.7265625" customWidth="1"/>
    <col min="4357" max="4357" width="12.26953125" customWidth="1"/>
    <col min="4358" max="4358" width="13.54296875" customWidth="1"/>
    <col min="4359" max="4359" width="12.26953125" customWidth="1"/>
    <col min="4360" max="4360" width="12.54296875" customWidth="1"/>
    <col min="4363" max="4363" width="12.81640625" customWidth="1"/>
    <col min="4364" max="4370" width="11.453125" customWidth="1"/>
    <col min="4610" max="4610" width="14.453125" bestFit="1" customWidth="1"/>
    <col min="4612" max="4612" width="14.7265625" customWidth="1"/>
    <col min="4613" max="4613" width="12.26953125" customWidth="1"/>
    <col min="4614" max="4614" width="13.54296875" customWidth="1"/>
    <col min="4615" max="4615" width="12.26953125" customWidth="1"/>
    <col min="4616" max="4616" width="12.54296875" customWidth="1"/>
    <col min="4619" max="4619" width="12.81640625" customWidth="1"/>
    <col min="4620" max="4626" width="11.453125" customWidth="1"/>
    <col min="4866" max="4866" width="14.453125" bestFit="1" customWidth="1"/>
    <col min="4868" max="4868" width="14.7265625" customWidth="1"/>
    <col min="4869" max="4869" width="12.26953125" customWidth="1"/>
    <col min="4870" max="4870" width="13.54296875" customWidth="1"/>
    <col min="4871" max="4871" width="12.26953125" customWidth="1"/>
    <col min="4872" max="4872" width="12.54296875" customWidth="1"/>
    <col min="4875" max="4875" width="12.81640625" customWidth="1"/>
    <col min="4876" max="4882" width="11.453125" customWidth="1"/>
    <col min="5122" max="5122" width="14.453125" bestFit="1" customWidth="1"/>
    <col min="5124" max="5124" width="14.7265625" customWidth="1"/>
    <col min="5125" max="5125" width="12.26953125" customWidth="1"/>
    <col min="5126" max="5126" width="13.54296875" customWidth="1"/>
    <col min="5127" max="5127" width="12.26953125" customWidth="1"/>
    <col min="5128" max="5128" width="12.54296875" customWidth="1"/>
    <col min="5131" max="5131" width="12.81640625" customWidth="1"/>
    <col min="5132" max="5138" width="11.453125" customWidth="1"/>
    <col min="5378" max="5378" width="14.453125" bestFit="1" customWidth="1"/>
    <col min="5380" max="5380" width="14.7265625" customWidth="1"/>
    <col min="5381" max="5381" width="12.26953125" customWidth="1"/>
    <col min="5382" max="5382" width="13.54296875" customWidth="1"/>
    <col min="5383" max="5383" width="12.26953125" customWidth="1"/>
    <col min="5384" max="5384" width="12.54296875" customWidth="1"/>
    <col min="5387" max="5387" width="12.81640625" customWidth="1"/>
    <col min="5388" max="5394" width="11.453125" customWidth="1"/>
    <col min="5634" max="5634" width="14.453125" bestFit="1" customWidth="1"/>
    <col min="5636" max="5636" width="14.7265625" customWidth="1"/>
    <col min="5637" max="5637" width="12.26953125" customWidth="1"/>
    <col min="5638" max="5638" width="13.54296875" customWidth="1"/>
    <col min="5639" max="5639" width="12.26953125" customWidth="1"/>
    <col min="5640" max="5640" width="12.54296875" customWidth="1"/>
    <col min="5643" max="5643" width="12.81640625" customWidth="1"/>
    <col min="5644" max="5650" width="11.453125" customWidth="1"/>
    <col min="5890" max="5890" width="14.453125" bestFit="1" customWidth="1"/>
    <col min="5892" max="5892" width="14.7265625" customWidth="1"/>
    <col min="5893" max="5893" width="12.26953125" customWidth="1"/>
    <col min="5894" max="5894" width="13.54296875" customWidth="1"/>
    <col min="5895" max="5895" width="12.26953125" customWidth="1"/>
    <col min="5896" max="5896" width="12.54296875" customWidth="1"/>
    <col min="5899" max="5899" width="12.81640625" customWidth="1"/>
    <col min="5900" max="5906" width="11.453125" customWidth="1"/>
    <col min="6146" max="6146" width="14.453125" bestFit="1" customWidth="1"/>
    <col min="6148" max="6148" width="14.7265625" customWidth="1"/>
    <col min="6149" max="6149" width="12.26953125" customWidth="1"/>
    <col min="6150" max="6150" width="13.54296875" customWidth="1"/>
    <col min="6151" max="6151" width="12.26953125" customWidth="1"/>
    <col min="6152" max="6152" width="12.54296875" customWidth="1"/>
    <col min="6155" max="6155" width="12.81640625" customWidth="1"/>
    <col min="6156" max="6162" width="11.453125" customWidth="1"/>
    <col min="6402" max="6402" width="14.453125" bestFit="1" customWidth="1"/>
    <col min="6404" max="6404" width="14.7265625" customWidth="1"/>
    <col min="6405" max="6405" width="12.26953125" customWidth="1"/>
    <col min="6406" max="6406" width="13.54296875" customWidth="1"/>
    <col min="6407" max="6407" width="12.26953125" customWidth="1"/>
    <col min="6408" max="6408" width="12.54296875" customWidth="1"/>
    <col min="6411" max="6411" width="12.81640625" customWidth="1"/>
    <col min="6412" max="6418" width="11.453125" customWidth="1"/>
    <col min="6658" max="6658" width="14.453125" bestFit="1" customWidth="1"/>
    <col min="6660" max="6660" width="14.7265625" customWidth="1"/>
    <col min="6661" max="6661" width="12.26953125" customWidth="1"/>
    <col min="6662" max="6662" width="13.54296875" customWidth="1"/>
    <col min="6663" max="6663" width="12.26953125" customWidth="1"/>
    <col min="6664" max="6664" width="12.54296875" customWidth="1"/>
    <col min="6667" max="6667" width="12.81640625" customWidth="1"/>
    <col min="6668" max="6674" width="11.453125" customWidth="1"/>
    <col min="6914" max="6914" width="14.453125" bestFit="1" customWidth="1"/>
    <col min="6916" max="6916" width="14.7265625" customWidth="1"/>
    <col min="6917" max="6917" width="12.26953125" customWidth="1"/>
    <col min="6918" max="6918" width="13.54296875" customWidth="1"/>
    <col min="6919" max="6919" width="12.26953125" customWidth="1"/>
    <col min="6920" max="6920" width="12.54296875" customWidth="1"/>
    <col min="6923" max="6923" width="12.81640625" customWidth="1"/>
    <col min="6924" max="6930" width="11.453125" customWidth="1"/>
    <col min="7170" max="7170" width="14.453125" bestFit="1" customWidth="1"/>
    <col min="7172" max="7172" width="14.7265625" customWidth="1"/>
    <col min="7173" max="7173" width="12.26953125" customWidth="1"/>
    <col min="7174" max="7174" width="13.54296875" customWidth="1"/>
    <col min="7175" max="7175" width="12.26953125" customWidth="1"/>
    <col min="7176" max="7176" width="12.54296875" customWidth="1"/>
    <col min="7179" max="7179" width="12.81640625" customWidth="1"/>
    <col min="7180" max="7186" width="11.453125" customWidth="1"/>
    <col min="7426" max="7426" width="14.453125" bestFit="1" customWidth="1"/>
    <col min="7428" max="7428" width="14.7265625" customWidth="1"/>
    <col min="7429" max="7429" width="12.26953125" customWidth="1"/>
    <col min="7430" max="7430" width="13.54296875" customWidth="1"/>
    <col min="7431" max="7431" width="12.26953125" customWidth="1"/>
    <col min="7432" max="7432" width="12.54296875" customWidth="1"/>
    <col min="7435" max="7435" width="12.81640625" customWidth="1"/>
    <col min="7436" max="7442" width="11.453125" customWidth="1"/>
    <col min="7682" max="7682" width="14.453125" bestFit="1" customWidth="1"/>
    <col min="7684" max="7684" width="14.7265625" customWidth="1"/>
    <col min="7685" max="7685" width="12.26953125" customWidth="1"/>
    <col min="7686" max="7686" width="13.54296875" customWidth="1"/>
    <col min="7687" max="7687" width="12.26953125" customWidth="1"/>
    <col min="7688" max="7688" width="12.54296875" customWidth="1"/>
    <col min="7691" max="7691" width="12.81640625" customWidth="1"/>
    <col min="7692" max="7698" width="11.453125" customWidth="1"/>
    <col min="7938" max="7938" width="14.453125" bestFit="1" customWidth="1"/>
    <col min="7940" max="7940" width="14.7265625" customWidth="1"/>
    <col min="7941" max="7941" width="12.26953125" customWidth="1"/>
    <col min="7942" max="7942" width="13.54296875" customWidth="1"/>
    <col min="7943" max="7943" width="12.26953125" customWidth="1"/>
    <col min="7944" max="7944" width="12.54296875" customWidth="1"/>
    <col min="7947" max="7947" width="12.81640625" customWidth="1"/>
    <col min="7948" max="7954" width="11.453125" customWidth="1"/>
    <col min="8194" max="8194" width="14.453125" bestFit="1" customWidth="1"/>
    <col min="8196" max="8196" width="14.7265625" customWidth="1"/>
    <col min="8197" max="8197" width="12.26953125" customWidth="1"/>
    <col min="8198" max="8198" width="13.54296875" customWidth="1"/>
    <col min="8199" max="8199" width="12.26953125" customWidth="1"/>
    <col min="8200" max="8200" width="12.54296875" customWidth="1"/>
    <col min="8203" max="8203" width="12.81640625" customWidth="1"/>
    <col min="8204" max="8210" width="11.453125" customWidth="1"/>
    <col min="8450" max="8450" width="14.453125" bestFit="1" customWidth="1"/>
    <col min="8452" max="8452" width="14.7265625" customWidth="1"/>
    <col min="8453" max="8453" width="12.26953125" customWidth="1"/>
    <col min="8454" max="8454" width="13.54296875" customWidth="1"/>
    <col min="8455" max="8455" width="12.26953125" customWidth="1"/>
    <col min="8456" max="8456" width="12.54296875" customWidth="1"/>
    <col min="8459" max="8459" width="12.81640625" customWidth="1"/>
    <col min="8460" max="8466" width="11.453125" customWidth="1"/>
    <col min="8706" max="8706" width="14.453125" bestFit="1" customWidth="1"/>
    <col min="8708" max="8708" width="14.7265625" customWidth="1"/>
    <col min="8709" max="8709" width="12.26953125" customWidth="1"/>
    <col min="8710" max="8710" width="13.54296875" customWidth="1"/>
    <col min="8711" max="8711" width="12.26953125" customWidth="1"/>
    <col min="8712" max="8712" width="12.54296875" customWidth="1"/>
    <col min="8715" max="8715" width="12.81640625" customWidth="1"/>
    <col min="8716" max="8722" width="11.453125" customWidth="1"/>
    <col min="8962" max="8962" width="14.453125" bestFit="1" customWidth="1"/>
    <col min="8964" max="8964" width="14.7265625" customWidth="1"/>
    <col min="8965" max="8965" width="12.26953125" customWidth="1"/>
    <col min="8966" max="8966" width="13.54296875" customWidth="1"/>
    <col min="8967" max="8967" width="12.26953125" customWidth="1"/>
    <col min="8968" max="8968" width="12.54296875" customWidth="1"/>
    <col min="8971" max="8971" width="12.81640625" customWidth="1"/>
    <col min="8972" max="8978" width="11.453125" customWidth="1"/>
    <col min="9218" max="9218" width="14.453125" bestFit="1" customWidth="1"/>
    <col min="9220" max="9220" width="14.7265625" customWidth="1"/>
    <col min="9221" max="9221" width="12.26953125" customWidth="1"/>
    <col min="9222" max="9222" width="13.54296875" customWidth="1"/>
    <col min="9223" max="9223" width="12.26953125" customWidth="1"/>
    <col min="9224" max="9224" width="12.54296875" customWidth="1"/>
    <col min="9227" max="9227" width="12.81640625" customWidth="1"/>
    <col min="9228" max="9234" width="11.453125" customWidth="1"/>
    <col min="9474" max="9474" width="14.453125" bestFit="1" customWidth="1"/>
    <col min="9476" max="9476" width="14.7265625" customWidth="1"/>
    <col min="9477" max="9477" width="12.26953125" customWidth="1"/>
    <col min="9478" max="9478" width="13.54296875" customWidth="1"/>
    <col min="9479" max="9479" width="12.26953125" customWidth="1"/>
    <col min="9480" max="9480" width="12.54296875" customWidth="1"/>
    <col min="9483" max="9483" width="12.81640625" customWidth="1"/>
    <col min="9484" max="9490" width="11.453125" customWidth="1"/>
    <col min="9730" max="9730" width="14.453125" bestFit="1" customWidth="1"/>
    <col min="9732" max="9732" width="14.7265625" customWidth="1"/>
    <col min="9733" max="9733" width="12.26953125" customWidth="1"/>
    <col min="9734" max="9734" width="13.54296875" customWidth="1"/>
    <col min="9735" max="9735" width="12.26953125" customWidth="1"/>
    <col min="9736" max="9736" width="12.54296875" customWidth="1"/>
    <col min="9739" max="9739" width="12.81640625" customWidth="1"/>
    <col min="9740" max="9746" width="11.453125" customWidth="1"/>
    <col min="9986" max="9986" width="14.453125" bestFit="1" customWidth="1"/>
    <col min="9988" max="9988" width="14.7265625" customWidth="1"/>
    <col min="9989" max="9989" width="12.26953125" customWidth="1"/>
    <col min="9990" max="9990" width="13.54296875" customWidth="1"/>
    <col min="9991" max="9991" width="12.26953125" customWidth="1"/>
    <col min="9992" max="9992" width="12.54296875" customWidth="1"/>
    <col min="9995" max="9995" width="12.81640625" customWidth="1"/>
    <col min="9996" max="10002" width="11.453125" customWidth="1"/>
    <col min="10242" max="10242" width="14.453125" bestFit="1" customWidth="1"/>
    <col min="10244" max="10244" width="14.7265625" customWidth="1"/>
    <col min="10245" max="10245" width="12.26953125" customWidth="1"/>
    <col min="10246" max="10246" width="13.54296875" customWidth="1"/>
    <col min="10247" max="10247" width="12.26953125" customWidth="1"/>
    <col min="10248" max="10248" width="12.54296875" customWidth="1"/>
    <col min="10251" max="10251" width="12.81640625" customWidth="1"/>
    <col min="10252" max="10258" width="11.453125" customWidth="1"/>
    <col min="10498" max="10498" width="14.453125" bestFit="1" customWidth="1"/>
    <col min="10500" max="10500" width="14.7265625" customWidth="1"/>
    <col min="10501" max="10501" width="12.26953125" customWidth="1"/>
    <col min="10502" max="10502" width="13.54296875" customWidth="1"/>
    <col min="10503" max="10503" width="12.26953125" customWidth="1"/>
    <col min="10504" max="10504" width="12.54296875" customWidth="1"/>
    <col min="10507" max="10507" width="12.81640625" customWidth="1"/>
    <col min="10508" max="10514" width="11.453125" customWidth="1"/>
    <col min="10754" max="10754" width="14.453125" bestFit="1" customWidth="1"/>
    <col min="10756" max="10756" width="14.7265625" customWidth="1"/>
    <col min="10757" max="10757" width="12.26953125" customWidth="1"/>
    <col min="10758" max="10758" width="13.54296875" customWidth="1"/>
    <col min="10759" max="10759" width="12.26953125" customWidth="1"/>
    <col min="10760" max="10760" width="12.54296875" customWidth="1"/>
    <col min="10763" max="10763" width="12.81640625" customWidth="1"/>
    <col min="10764" max="10770" width="11.453125" customWidth="1"/>
    <col min="11010" max="11010" width="14.453125" bestFit="1" customWidth="1"/>
    <col min="11012" max="11012" width="14.7265625" customWidth="1"/>
    <col min="11013" max="11013" width="12.26953125" customWidth="1"/>
    <col min="11014" max="11014" width="13.54296875" customWidth="1"/>
    <col min="11015" max="11015" width="12.26953125" customWidth="1"/>
    <col min="11016" max="11016" width="12.54296875" customWidth="1"/>
    <col min="11019" max="11019" width="12.81640625" customWidth="1"/>
    <col min="11020" max="11026" width="11.453125" customWidth="1"/>
    <col min="11266" max="11266" width="14.453125" bestFit="1" customWidth="1"/>
    <col min="11268" max="11268" width="14.7265625" customWidth="1"/>
    <col min="11269" max="11269" width="12.26953125" customWidth="1"/>
    <col min="11270" max="11270" width="13.54296875" customWidth="1"/>
    <col min="11271" max="11271" width="12.26953125" customWidth="1"/>
    <col min="11272" max="11272" width="12.54296875" customWidth="1"/>
    <col min="11275" max="11275" width="12.81640625" customWidth="1"/>
    <col min="11276" max="11282" width="11.453125" customWidth="1"/>
    <col min="11522" max="11522" width="14.453125" bestFit="1" customWidth="1"/>
    <col min="11524" max="11524" width="14.7265625" customWidth="1"/>
    <col min="11525" max="11525" width="12.26953125" customWidth="1"/>
    <col min="11526" max="11526" width="13.54296875" customWidth="1"/>
    <col min="11527" max="11527" width="12.26953125" customWidth="1"/>
    <col min="11528" max="11528" width="12.54296875" customWidth="1"/>
    <col min="11531" max="11531" width="12.81640625" customWidth="1"/>
    <col min="11532" max="11538" width="11.453125" customWidth="1"/>
    <col min="11778" max="11778" width="14.453125" bestFit="1" customWidth="1"/>
    <col min="11780" max="11780" width="14.7265625" customWidth="1"/>
    <col min="11781" max="11781" width="12.26953125" customWidth="1"/>
    <col min="11782" max="11782" width="13.54296875" customWidth="1"/>
    <col min="11783" max="11783" width="12.26953125" customWidth="1"/>
    <col min="11784" max="11784" width="12.54296875" customWidth="1"/>
    <col min="11787" max="11787" width="12.81640625" customWidth="1"/>
    <col min="11788" max="11794" width="11.453125" customWidth="1"/>
    <col min="12034" max="12034" width="14.453125" bestFit="1" customWidth="1"/>
    <col min="12036" max="12036" width="14.7265625" customWidth="1"/>
    <col min="12037" max="12037" width="12.26953125" customWidth="1"/>
    <col min="12038" max="12038" width="13.54296875" customWidth="1"/>
    <col min="12039" max="12039" width="12.26953125" customWidth="1"/>
    <col min="12040" max="12040" width="12.54296875" customWidth="1"/>
    <col min="12043" max="12043" width="12.81640625" customWidth="1"/>
    <col min="12044" max="12050" width="11.453125" customWidth="1"/>
    <col min="12290" max="12290" width="14.453125" bestFit="1" customWidth="1"/>
    <col min="12292" max="12292" width="14.7265625" customWidth="1"/>
    <col min="12293" max="12293" width="12.26953125" customWidth="1"/>
    <col min="12294" max="12294" width="13.54296875" customWidth="1"/>
    <col min="12295" max="12295" width="12.26953125" customWidth="1"/>
    <col min="12296" max="12296" width="12.54296875" customWidth="1"/>
    <col min="12299" max="12299" width="12.81640625" customWidth="1"/>
    <col min="12300" max="12306" width="11.453125" customWidth="1"/>
    <col min="12546" max="12546" width="14.453125" bestFit="1" customWidth="1"/>
    <col min="12548" max="12548" width="14.7265625" customWidth="1"/>
    <col min="12549" max="12549" width="12.26953125" customWidth="1"/>
    <col min="12550" max="12550" width="13.54296875" customWidth="1"/>
    <col min="12551" max="12551" width="12.26953125" customWidth="1"/>
    <col min="12552" max="12552" width="12.54296875" customWidth="1"/>
    <col min="12555" max="12555" width="12.81640625" customWidth="1"/>
    <col min="12556" max="12562" width="11.453125" customWidth="1"/>
    <col min="12802" max="12802" width="14.453125" bestFit="1" customWidth="1"/>
    <col min="12804" max="12804" width="14.7265625" customWidth="1"/>
    <col min="12805" max="12805" width="12.26953125" customWidth="1"/>
    <col min="12806" max="12806" width="13.54296875" customWidth="1"/>
    <col min="12807" max="12807" width="12.26953125" customWidth="1"/>
    <col min="12808" max="12808" width="12.54296875" customWidth="1"/>
    <col min="12811" max="12811" width="12.81640625" customWidth="1"/>
    <col min="12812" max="12818" width="11.453125" customWidth="1"/>
    <col min="13058" max="13058" width="14.453125" bestFit="1" customWidth="1"/>
    <col min="13060" max="13060" width="14.7265625" customWidth="1"/>
    <col min="13061" max="13061" width="12.26953125" customWidth="1"/>
    <col min="13062" max="13062" width="13.54296875" customWidth="1"/>
    <col min="13063" max="13063" width="12.26953125" customWidth="1"/>
    <col min="13064" max="13064" width="12.54296875" customWidth="1"/>
    <col min="13067" max="13067" width="12.81640625" customWidth="1"/>
    <col min="13068" max="13074" width="11.453125" customWidth="1"/>
    <col min="13314" max="13314" width="14.453125" bestFit="1" customWidth="1"/>
    <col min="13316" max="13316" width="14.7265625" customWidth="1"/>
    <col min="13317" max="13317" width="12.26953125" customWidth="1"/>
    <col min="13318" max="13318" width="13.54296875" customWidth="1"/>
    <col min="13319" max="13319" width="12.26953125" customWidth="1"/>
    <col min="13320" max="13320" width="12.54296875" customWidth="1"/>
    <col min="13323" max="13323" width="12.81640625" customWidth="1"/>
    <col min="13324" max="13330" width="11.453125" customWidth="1"/>
    <col min="13570" max="13570" width="14.453125" bestFit="1" customWidth="1"/>
    <col min="13572" max="13572" width="14.7265625" customWidth="1"/>
    <col min="13573" max="13573" width="12.26953125" customWidth="1"/>
    <col min="13574" max="13574" width="13.54296875" customWidth="1"/>
    <col min="13575" max="13575" width="12.26953125" customWidth="1"/>
    <col min="13576" max="13576" width="12.54296875" customWidth="1"/>
    <col min="13579" max="13579" width="12.81640625" customWidth="1"/>
    <col min="13580" max="13586" width="11.453125" customWidth="1"/>
    <col min="13826" max="13826" width="14.453125" bestFit="1" customWidth="1"/>
    <col min="13828" max="13828" width="14.7265625" customWidth="1"/>
    <col min="13829" max="13829" width="12.26953125" customWidth="1"/>
    <col min="13830" max="13830" width="13.54296875" customWidth="1"/>
    <col min="13831" max="13831" width="12.26953125" customWidth="1"/>
    <col min="13832" max="13832" width="12.54296875" customWidth="1"/>
    <col min="13835" max="13835" width="12.81640625" customWidth="1"/>
    <col min="13836" max="13842" width="11.453125" customWidth="1"/>
    <col min="14082" max="14082" width="14.453125" bestFit="1" customWidth="1"/>
    <col min="14084" max="14084" width="14.7265625" customWidth="1"/>
    <col min="14085" max="14085" width="12.26953125" customWidth="1"/>
    <col min="14086" max="14086" width="13.54296875" customWidth="1"/>
    <col min="14087" max="14087" width="12.26953125" customWidth="1"/>
    <col min="14088" max="14088" width="12.54296875" customWidth="1"/>
    <col min="14091" max="14091" width="12.81640625" customWidth="1"/>
    <col min="14092" max="14098" width="11.453125" customWidth="1"/>
    <col min="14338" max="14338" width="14.453125" bestFit="1" customWidth="1"/>
    <col min="14340" max="14340" width="14.7265625" customWidth="1"/>
    <col min="14341" max="14341" width="12.26953125" customWidth="1"/>
    <col min="14342" max="14342" width="13.54296875" customWidth="1"/>
    <col min="14343" max="14343" width="12.26953125" customWidth="1"/>
    <col min="14344" max="14344" width="12.54296875" customWidth="1"/>
    <col min="14347" max="14347" width="12.81640625" customWidth="1"/>
    <col min="14348" max="14354" width="11.453125" customWidth="1"/>
    <col min="14594" max="14594" width="14.453125" bestFit="1" customWidth="1"/>
    <col min="14596" max="14596" width="14.7265625" customWidth="1"/>
    <col min="14597" max="14597" width="12.26953125" customWidth="1"/>
    <col min="14598" max="14598" width="13.54296875" customWidth="1"/>
    <col min="14599" max="14599" width="12.26953125" customWidth="1"/>
    <col min="14600" max="14600" width="12.54296875" customWidth="1"/>
    <col min="14603" max="14603" width="12.81640625" customWidth="1"/>
    <col min="14604" max="14610" width="11.453125" customWidth="1"/>
    <col min="14850" max="14850" width="14.453125" bestFit="1" customWidth="1"/>
    <col min="14852" max="14852" width="14.7265625" customWidth="1"/>
    <col min="14853" max="14853" width="12.26953125" customWidth="1"/>
    <col min="14854" max="14854" width="13.54296875" customWidth="1"/>
    <col min="14855" max="14855" width="12.26953125" customWidth="1"/>
    <col min="14856" max="14856" width="12.54296875" customWidth="1"/>
    <col min="14859" max="14859" width="12.81640625" customWidth="1"/>
    <col min="14860" max="14866" width="11.453125" customWidth="1"/>
    <col min="15106" max="15106" width="14.453125" bestFit="1" customWidth="1"/>
    <col min="15108" max="15108" width="14.7265625" customWidth="1"/>
    <col min="15109" max="15109" width="12.26953125" customWidth="1"/>
    <col min="15110" max="15110" width="13.54296875" customWidth="1"/>
    <col min="15111" max="15111" width="12.26953125" customWidth="1"/>
    <col min="15112" max="15112" width="12.54296875" customWidth="1"/>
    <col min="15115" max="15115" width="12.81640625" customWidth="1"/>
    <col min="15116" max="15122" width="11.453125" customWidth="1"/>
    <col min="15362" max="15362" width="14.453125" bestFit="1" customWidth="1"/>
    <col min="15364" max="15364" width="14.7265625" customWidth="1"/>
    <col min="15365" max="15365" width="12.26953125" customWidth="1"/>
    <col min="15366" max="15366" width="13.54296875" customWidth="1"/>
    <col min="15367" max="15367" width="12.26953125" customWidth="1"/>
    <col min="15368" max="15368" width="12.54296875" customWidth="1"/>
    <col min="15371" max="15371" width="12.81640625" customWidth="1"/>
    <col min="15372" max="15378" width="11.453125" customWidth="1"/>
    <col min="15618" max="15618" width="14.453125" bestFit="1" customWidth="1"/>
    <col min="15620" max="15620" width="14.7265625" customWidth="1"/>
    <col min="15621" max="15621" width="12.26953125" customWidth="1"/>
    <col min="15622" max="15622" width="13.54296875" customWidth="1"/>
    <col min="15623" max="15623" width="12.26953125" customWidth="1"/>
    <col min="15624" max="15624" width="12.54296875" customWidth="1"/>
    <col min="15627" max="15627" width="12.81640625" customWidth="1"/>
    <col min="15628" max="15634" width="11.453125" customWidth="1"/>
    <col min="15874" max="15874" width="14.453125" bestFit="1" customWidth="1"/>
    <col min="15876" max="15876" width="14.7265625" customWidth="1"/>
    <col min="15877" max="15877" width="12.26953125" customWidth="1"/>
    <col min="15878" max="15878" width="13.54296875" customWidth="1"/>
    <col min="15879" max="15879" width="12.26953125" customWidth="1"/>
    <col min="15880" max="15880" width="12.54296875" customWidth="1"/>
    <col min="15883" max="15883" width="12.81640625" customWidth="1"/>
    <col min="15884" max="15890" width="11.453125" customWidth="1"/>
    <col min="16130" max="16130" width="14.453125" bestFit="1" customWidth="1"/>
    <col min="16132" max="16132" width="14.7265625" customWidth="1"/>
    <col min="16133" max="16133" width="12.26953125" customWidth="1"/>
    <col min="16134" max="16134" width="13.54296875" customWidth="1"/>
    <col min="16135" max="16135" width="12.26953125" customWidth="1"/>
    <col min="16136" max="16136" width="12.54296875" customWidth="1"/>
    <col min="16139" max="16139" width="12.81640625" customWidth="1"/>
    <col min="16140" max="16146" width="11.453125" customWidth="1"/>
  </cols>
  <sheetData>
    <row r="1" spans="1:19" ht="18">
      <c r="A1" s="204" t="s">
        <v>3332</v>
      </c>
      <c r="B1" s="205"/>
      <c r="C1" s="205"/>
      <c r="D1" s="205"/>
      <c r="E1" s="205"/>
      <c r="F1" s="205"/>
      <c r="G1" s="205"/>
      <c r="H1" s="205"/>
    </row>
    <row r="2" spans="1:19">
      <c r="F2" s="206" t="s">
        <v>3333</v>
      </c>
    </row>
    <row r="3" spans="1:19" ht="21.75" customHeight="1">
      <c r="A3" s="207"/>
      <c r="B3" s="898" t="s">
        <v>3334</v>
      </c>
      <c r="C3" s="898"/>
      <c r="D3" s="898"/>
      <c r="E3" s="899"/>
      <c r="F3" s="898" t="s">
        <v>3335</v>
      </c>
      <c r="G3" s="898"/>
      <c r="H3" s="899"/>
    </row>
    <row r="4" spans="1:19" ht="46.5" customHeight="1">
      <c r="A4" s="208" t="s">
        <v>3336</v>
      </c>
      <c r="B4" s="209" t="s">
        <v>3337</v>
      </c>
      <c r="C4" s="209" t="s">
        <v>3338</v>
      </c>
      <c r="D4" s="209" t="s">
        <v>3339</v>
      </c>
      <c r="E4" s="209" t="s">
        <v>3340</v>
      </c>
      <c r="F4" s="210" t="s">
        <v>3341</v>
      </c>
      <c r="G4" s="209" t="s">
        <v>3342</v>
      </c>
      <c r="H4" s="211" t="s">
        <v>3343</v>
      </c>
    </row>
    <row r="5" spans="1:19">
      <c r="A5" s="212">
        <v>2000</v>
      </c>
      <c r="B5" s="213">
        <v>10</v>
      </c>
      <c r="C5" s="213">
        <v>8.7482000000000006</v>
      </c>
      <c r="D5" s="213">
        <v>8.9193178188235578</v>
      </c>
      <c r="E5" s="214">
        <v>11.041018070891774</v>
      </c>
      <c r="F5" s="215">
        <v>2229.1799999999998</v>
      </c>
      <c r="G5" s="213">
        <v>18.97</v>
      </c>
      <c r="H5" s="214">
        <v>6.7433761143672388</v>
      </c>
      <c r="K5" s="216"/>
      <c r="L5" s="1"/>
      <c r="M5" s="1"/>
      <c r="N5" s="1"/>
      <c r="O5" s="1"/>
      <c r="P5" s="1"/>
      <c r="Q5" s="1"/>
      <c r="R5" s="1"/>
    </row>
    <row r="6" spans="1:19">
      <c r="A6" s="217">
        <v>2001</v>
      </c>
      <c r="B6" s="213">
        <v>8</v>
      </c>
      <c r="C6" s="213">
        <v>7.6463999999999999</v>
      </c>
      <c r="D6" s="213">
        <v>6.4776128038695147</v>
      </c>
      <c r="E6" s="214">
        <v>6.9303445306099443</v>
      </c>
      <c r="F6" s="218">
        <v>2291.1799999999998</v>
      </c>
      <c r="G6" s="219">
        <v>2.78</v>
      </c>
      <c r="H6" s="220">
        <v>-5.1118647256961918</v>
      </c>
      <c r="L6" s="1"/>
      <c r="M6" s="1"/>
      <c r="N6" s="1"/>
      <c r="O6" s="1"/>
      <c r="P6" s="1"/>
      <c r="Q6" s="1"/>
      <c r="R6" s="1"/>
    </row>
    <row r="7" spans="1:19">
      <c r="A7" s="217">
        <v>2002</v>
      </c>
      <c r="B7" s="213">
        <v>6</v>
      </c>
      <c r="C7" s="213">
        <v>6.9927999999999999</v>
      </c>
      <c r="D7" s="213">
        <v>5.4151975791602025</v>
      </c>
      <c r="E7" s="214">
        <v>9.2752891611776356</v>
      </c>
      <c r="F7" s="218">
        <v>2864.79</v>
      </c>
      <c r="G7" s="219">
        <v>25.04</v>
      </c>
      <c r="H7" s="220">
        <v>13.765768927052102</v>
      </c>
      <c r="L7" s="1"/>
      <c r="M7" s="1"/>
      <c r="N7" s="1"/>
      <c r="O7" s="1"/>
      <c r="P7" s="1"/>
      <c r="Q7" s="1"/>
      <c r="R7" s="1"/>
    </row>
    <row r="8" spans="1:19">
      <c r="A8" s="217">
        <v>2003</v>
      </c>
      <c r="B8" s="213">
        <v>5.5</v>
      </c>
      <c r="C8" s="213">
        <v>6.4905999999999997</v>
      </c>
      <c r="D8" s="213">
        <v>6.9777918391605409</v>
      </c>
      <c r="E8" s="214">
        <v>5.7248640328400047</v>
      </c>
      <c r="F8" s="218">
        <v>2778.21</v>
      </c>
      <c r="G8" s="219">
        <v>-3.02</v>
      </c>
      <c r="H8" s="220">
        <v>4.305516487685801</v>
      </c>
      <c r="J8" s="1"/>
      <c r="K8" s="1"/>
      <c r="L8" s="1"/>
      <c r="M8" s="1"/>
      <c r="N8" s="1"/>
      <c r="O8" s="1"/>
      <c r="P8" s="1"/>
      <c r="Q8" s="1"/>
      <c r="R8" s="1"/>
      <c r="S8" s="1"/>
    </row>
    <row r="9" spans="1:19">
      <c r="A9" s="217">
        <v>2004</v>
      </c>
      <c r="B9" s="213">
        <v>5.5</v>
      </c>
      <c r="C9" s="213">
        <v>5.4974999999999996</v>
      </c>
      <c r="D9" s="213">
        <v>5.4766342459183548</v>
      </c>
      <c r="E9" s="214">
        <v>4.644011583295149</v>
      </c>
      <c r="F9" s="218">
        <v>2389.75</v>
      </c>
      <c r="G9" s="219">
        <v>-13.98</v>
      </c>
      <c r="H9" s="220">
        <v>-10.897975228678936</v>
      </c>
      <c r="J9" s="1"/>
      <c r="K9" s="1"/>
      <c r="L9" s="1"/>
      <c r="M9" s="1"/>
      <c r="N9" s="1"/>
      <c r="O9" s="1"/>
      <c r="P9" s="1"/>
      <c r="Q9" s="1"/>
      <c r="R9" s="1"/>
      <c r="S9" s="1"/>
    </row>
    <row r="10" spans="1:19">
      <c r="A10" s="217">
        <v>2005</v>
      </c>
      <c r="B10" s="213">
        <v>5</v>
      </c>
      <c r="C10" s="213">
        <v>4.8548999999999998</v>
      </c>
      <c r="D10" s="213">
        <v>4.2282559892282912</v>
      </c>
      <c r="E10" s="214">
        <v>2.0649432636609122</v>
      </c>
      <c r="F10" s="218">
        <v>2284.2199999999998</v>
      </c>
      <c r="G10" s="219">
        <v>-4.42</v>
      </c>
      <c r="H10" s="220">
        <v>-2.5000833516288345</v>
      </c>
      <c r="J10" s="1"/>
      <c r="K10" s="1"/>
      <c r="L10" s="1"/>
      <c r="M10" s="1"/>
      <c r="N10" s="1"/>
      <c r="O10" s="1"/>
      <c r="P10" s="1"/>
      <c r="Q10" s="1"/>
      <c r="R10" s="1"/>
      <c r="S10" s="1"/>
    </row>
    <row r="11" spans="1:19">
      <c r="A11" s="217">
        <v>2006</v>
      </c>
      <c r="B11" s="213">
        <v>4.5</v>
      </c>
      <c r="C11" s="213">
        <v>4.4779</v>
      </c>
      <c r="D11" s="213">
        <v>4.0965947101498923</v>
      </c>
      <c r="E11" s="214">
        <v>5.5438957831652091</v>
      </c>
      <c r="F11" s="218">
        <v>2238.79</v>
      </c>
      <c r="G11" s="219">
        <v>-1.99</v>
      </c>
      <c r="H11" s="220">
        <v>0.12316086691284145</v>
      </c>
      <c r="J11" s="1"/>
      <c r="K11" s="1"/>
      <c r="L11" s="1"/>
      <c r="M11" s="1"/>
      <c r="N11" s="1"/>
      <c r="O11" s="1"/>
      <c r="P11" s="1"/>
      <c r="Q11" s="1"/>
      <c r="R11" s="1"/>
      <c r="S11" s="1"/>
    </row>
    <row r="12" spans="1:19">
      <c r="A12" s="217">
        <v>2007</v>
      </c>
      <c r="B12" s="213">
        <v>4</v>
      </c>
      <c r="C12" s="213">
        <v>5.6940999999999997</v>
      </c>
      <c r="D12" s="213">
        <v>4.657498758527856</v>
      </c>
      <c r="E12" s="214">
        <v>1.2699999999999934</v>
      </c>
      <c r="F12" s="218">
        <v>2014.76</v>
      </c>
      <c r="G12" s="219">
        <v>-10.01</v>
      </c>
      <c r="H12" s="220">
        <v>-0.65817949039232992</v>
      </c>
      <c r="J12" s="1"/>
      <c r="K12" s="1"/>
      <c r="L12" s="1"/>
      <c r="M12" s="1"/>
      <c r="N12" s="1"/>
      <c r="O12" s="1"/>
      <c r="P12" s="1"/>
      <c r="Q12" s="1"/>
      <c r="R12" s="1"/>
      <c r="S12" s="1"/>
    </row>
    <row r="13" spans="1:19">
      <c r="A13" s="217">
        <v>2008</v>
      </c>
      <c r="B13" s="213">
        <v>4</v>
      </c>
      <c r="C13" s="213">
        <v>7.6748000000000003</v>
      </c>
      <c r="D13" s="213">
        <v>5.3543859777604341</v>
      </c>
      <c r="E13" s="214">
        <v>8.9957539251505523</v>
      </c>
      <c r="F13" s="218">
        <v>2243.59</v>
      </c>
      <c r="G13" s="219">
        <v>11.36</v>
      </c>
      <c r="H13" s="220">
        <v>-2.7370852012497449</v>
      </c>
      <c r="J13" s="1"/>
      <c r="K13" s="1"/>
      <c r="L13" s="1"/>
      <c r="M13" s="1"/>
      <c r="N13" s="1"/>
      <c r="O13" s="1"/>
      <c r="P13" s="1"/>
      <c r="Q13" s="1"/>
      <c r="R13" s="1"/>
      <c r="S13" s="1"/>
    </row>
    <row r="14" spans="1:19">
      <c r="A14" s="217">
        <v>2009</v>
      </c>
      <c r="B14" s="213">
        <v>5</v>
      </c>
      <c r="C14" s="213">
        <v>2.001808</v>
      </c>
      <c r="D14" s="213">
        <v>3.0916712699840421</v>
      </c>
      <c r="E14" s="214">
        <v>-2.1833665519115697</v>
      </c>
      <c r="F14" s="218">
        <v>2044.23</v>
      </c>
      <c r="G14" s="219">
        <v>-8.89</v>
      </c>
      <c r="H14" s="220">
        <v>-2.7466610375000977</v>
      </c>
      <c r="J14" s="1"/>
      <c r="K14" s="1"/>
      <c r="L14" s="1"/>
      <c r="M14" s="1"/>
      <c r="N14" s="1"/>
      <c r="O14" s="1"/>
      <c r="P14" s="1"/>
      <c r="Q14" s="1"/>
      <c r="R14" s="1"/>
      <c r="S14" s="1"/>
    </row>
    <row r="15" spans="1:19">
      <c r="A15" s="217">
        <v>2010</v>
      </c>
      <c r="B15" s="213">
        <v>3</v>
      </c>
      <c r="C15" s="213">
        <v>3.1712220000000002</v>
      </c>
      <c r="D15" s="213">
        <v>2.9965665762316407</v>
      </c>
      <c r="E15" s="214">
        <v>4.371584699453579</v>
      </c>
      <c r="F15" s="218">
        <v>1913.98</v>
      </c>
      <c r="G15" s="219">
        <v>-6.37</v>
      </c>
      <c r="H15" s="220">
        <v>-3.9112641755955635</v>
      </c>
      <c r="J15" s="1"/>
      <c r="K15" s="1"/>
      <c r="L15" s="1"/>
      <c r="M15" s="1"/>
      <c r="N15" s="1"/>
      <c r="O15" s="1"/>
      <c r="P15" s="1"/>
      <c r="Q15" s="1"/>
      <c r="R15" s="1"/>
      <c r="S15" s="1"/>
    </row>
    <row r="16" spans="1:19">
      <c r="A16" s="217">
        <v>2011</v>
      </c>
      <c r="B16" s="213">
        <v>3</v>
      </c>
      <c r="C16" s="213">
        <v>3.725787</v>
      </c>
      <c r="D16" s="213">
        <v>3.3872121138011524</v>
      </c>
      <c r="E16" s="214">
        <v>5.5106930517348607</v>
      </c>
      <c r="F16" s="218">
        <v>1942.7</v>
      </c>
      <c r="G16" s="219">
        <v>1.5</v>
      </c>
      <c r="H16" s="220">
        <v>-1.0638650846733877</v>
      </c>
      <c r="J16" s="1"/>
      <c r="K16" s="1"/>
      <c r="L16" s="1"/>
      <c r="M16" s="1"/>
      <c r="N16" s="1"/>
      <c r="O16" s="1"/>
      <c r="P16" s="1"/>
      <c r="Q16" s="1"/>
      <c r="R16" s="1"/>
      <c r="S16" s="1"/>
    </row>
    <row r="17" spans="1:19">
      <c r="A17" s="217">
        <v>2012</v>
      </c>
      <c r="B17" s="213">
        <v>3</v>
      </c>
      <c r="C17" s="213">
        <v>2.44</v>
      </c>
      <c r="D17" s="213">
        <v>2.6695864841334016</v>
      </c>
      <c r="E17" s="214">
        <v>-2.95</v>
      </c>
      <c r="F17" s="218">
        <v>1768.23</v>
      </c>
      <c r="G17" s="219">
        <v>-8.98</v>
      </c>
      <c r="H17" s="220">
        <v>-2.7640191452109164</v>
      </c>
      <c r="J17" s="1"/>
      <c r="K17" s="1"/>
      <c r="L17" s="1"/>
      <c r="M17" s="1"/>
      <c r="N17" s="1"/>
      <c r="O17" s="1"/>
      <c r="P17" s="1"/>
      <c r="Q17" s="1"/>
      <c r="R17" s="1"/>
      <c r="S17" s="1"/>
    </row>
    <row r="18" spans="1:19">
      <c r="A18" s="217">
        <v>2013</v>
      </c>
      <c r="B18" s="213">
        <v>3</v>
      </c>
      <c r="C18" s="213">
        <v>1.94</v>
      </c>
      <c r="D18" s="213">
        <v>2.4619227415656031</v>
      </c>
      <c r="E18" s="214">
        <v>-0.49</v>
      </c>
      <c r="F18" s="218">
        <v>1926.83</v>
      </c>
      <c r="G18" s="213">
        <v>8.9700000000000006</v>
      </c>
      <c r="H18" s="220">
        <v>6.1538308470996839</v>
      </c>
      <c r="I18" s="197">
        <f>G18/100</f>
        <v>8.9700000000000002E-2</v>
      </c>
      <c r="J18" s="1"/>
      <c r="K18" s="1"/>
      <c r="L18" s="1"/>
      <c r="M18" s="1"/>
      <c r="N18" s="1"/>
      <c r="O18" s="1"/>
      <c r="P18" s="1"/>
      <c r="Q18" s="1"/>
      <c r="R18" s="1"/>
      <c r="S18" s="1"/>
    </row>
    <row r="19" spans="1:19">
      <c r="A19" s="217">
        <v>2014</v>
      </c>
      <c r="B19" s="213">
        <v>3</v>
      </c>
      <c r="C19" s="213">
        <v>3.66</v>
      </c>
      <c r="D19" s="213">
        <v>3.2841451989137793</v>
      </c>
      <c r="E19" s="214">
        <v>6.3317398899999997</v>
      </c>
      <c r="F19" s="218">
        <v>2392.46</v>
      </c>
      <c r="G19" s="213">
        <v>24.17</v>
      </c>
      <c r="H19" s="220">
        <v>7.5154521631712434</v>
      </c>
      <c r="I19" s="197">
        <f t="shared" ref="I19:I27" si="0">G19/100</f>
        <v>0.24170000000000003</v>
      </c>
      <c r="J19" s="1"/>
      <c r="K19" s="1"/>
      <c r="L19" s="1"/>
      <c r="M19" s="1"/>
      <c r="N19" s="1"/>
      <c r="O19" s="1"/>
      <c r="P19" s="1"/>
      <c r="Q19" s="1"/>
      <c r="R19" s="1"/>
      <c r="S19" s="1"/>
    </row>
    <row r="20" spans="1:19">
      <c r="A20" s="217">
        <v>2015</v>
      </c>
      <c r="B20" s="213">
        <v>3</v>
      </c>
      <c r="C20" s="213">
        <v>6.77</v>
      </c>
      <c r="D20" s="213">
        <v>5.2518674261124998</v>
      </c>
      <c r="E20" s="214">
        <v>9.5699999999999896</v>
      </c>
      <c r="F20" s="218">
        <v>3149.47</v>
      </c>
      <c r="G20" s="213">
        <v>31.64</v>
      </c>
      <c r="H20" s="220">
        <v>13.709776497626747</v>
      </c>
      <c r="I20" s="197">
        <f t="shared" si="0"/>
        <v>0.31640000000000001</v>
      </c>
      <c r="J20" s="1"/>
      <c r="K20" s="1"/>
      <c r="L20" s="1"/>
      <c r="M20" s="1"/>
      <c r="N20" s="1"/>
      <c r="O20" s="1"/>
      <c r="P20" s="1"/>
      <c r="Q20" s="1"/>
      <c r="R20" s="1"/>
      <c r="S20" s="1"/>
    </row>
    <row r="21" spans="1:19">
      <c r="A21" s="217">
        <v>2016</v>
      </c>
      <c r="B21" s="213">
        <v>3</v>
      </c>
      <c r="C21" s="213">
        <v>5.75</v>
      </c>
      <c r="D21" s="213">
        <v>5.5131207494701684</v>
      </c>
      <c r="E21" s="214">
        <v>1.62</v>
      </c>
      <c r="F21" s="218">
        <v>3000.71</v>
      </c>
      <c r="G21" s="213">
        <v>-4.72</v>
      </c>
      <c r="H21" s="214">
        <v>-7.4375722463916549</v>
      </c>
      <c r="I21" s="197">
        <f t="shared" si="0"/>
        <v>-4.7199999999999999E-2</v>
      </c>
      <c r="J21" s="1"/>
      <c r="K21" s="1"/>
      <c r="L21" s="1"/>
      <c r="M21" s="1"/>
      <c r="N21" s="1"/>
      <c r="O21" s="1"/>
      <c r="P21" s="1"/>
      <c r="Q21" s="1"/>
      <c r="R21" s="1"/>
      <c r="S21" s="1"/>
    </row>
    <row r="22" spans="1:19">
      <c r="A22" s="217">
        <v>2017</v>
      </c>
      <c r="B22" s="213">
        <v>3</v>
      </c>
      <c r="C22" s="213">
        <v>4.09</v>
      </c>
      <c r="D22" s="213">
        <v>5.0304591297459789</v>
      </c>
      <c r="E22" s="214">
        <v>1.85</v>
      </c>
      <c r="F22" s="218">
        <v>2984</v>
      </c>
      <c r="G22" s="213">
        <v>-0.56000000000000005</v>
      </c>
      <c r="H22" s="214">
        <v>4.7138095724830853</v>
      </c>
      <c r="I22" s="197">
        <f t="shared" si="0"/>
        <v>-5.6000000000000008E-3</v>
      </c>
      <c r="J22" s="1"/>
      <c r="K22" s="1"/>
      <c r="L22" s="1"/>
      <c r="M22" s="1"/>
      <c r="N22" s="1"/>
      <c r="O22" s="1"/>
      <c r="P22" s="1"/>
      <c r="Q22" s="1"/>
      <c r="R22" s="1"/>
      <c r="S22" s="1"/>
    </row>
    <row r="23" spans="1:19">
      <c r="A23" s="217">
        <v>2018</v>
      </c>
      <c r="B23" s="213">
        <v>3</v>
      </c>
      <c r="C23" s="213">
        <v>3.18</v>
      </c>
      <c r="D23" s="213">
        <v>3.5058744435203071</v>
      </c>
      <c r="E23" s="214">
        <v>3.09</v>
      </c>
      <c r="F23" s="218">
        <v>3249.75</v>
      </c>
      <c r="G23" s="213">
        <v>8.9058310991957157</v>
      </c>
      <c r="H23" s="214">
        <v>-0.90724690310400868</v>
      </c>
      <c r="I23" s="197">
        <f t="shared" si="0"/>
        <v>8.9058310991957157E-2</v>
      </c>
      <c r="J23" s="1"/>
      <c r="K23" s="1"/>
      <c r="L23" s="1"/>
      <c r="M23" s="1"/>
      <c r="N23" s="1"/>
      <c r="O23" s="1"/>
      <c r="P23" s="1"/>
      <c r="Q23" s="1"/>
      <c r="R23" s="1"/>
      <c r="S23" s="1"/>
    </row>
    <row r="24" spans="1:19">
      <c r="A24" s="217">
        <v>2019</v>
      </c>
      <c r="B24" s="213">
        <v>3</v>
      </c>
      <c r="C24" s="213">
        <v>3.8</v>
      </c>
      <c r="D24" s="213">
        <v>3.4506032890035732</v>
      </c>
      <c r="E24" s="214">
        <v>4.66</v>
      </c>
      <c r="F24" s="218">
        <v>3277.14</v>
      </c>
      <c r="G24" s="213">
        <v>0.8428340641587706</v>
      </c>
      <c r="H24" s="214">
        <v>0.64132635908240587</v>
      </c>
      <c r="I24" s="197">
        <f t="shared" si="0"/>
        <v>8.428340641587706E-3</v>
      </c>
      <c r="J24" s="1"/>
      <c r="K24" s="1"/>
      <c r="L24" s="1"/>
      <c r="M24" s="1"/>
      <c r="N24" s="1"/>
      <c r="O24" s="1"/>
      <c r="P24" s="1"/>
      <c r="Q24" s="1"/>
      <c r="R24" s="1"/>
      <c r="S24" s="1"/>
    </row>
    <row r="25" spans="1:19">
      <c r="A25" s="217">
        <v>2020</v>
      </c>
      <c r="B25" s="213">
        <v>3</v>
      </c>
      <c r="C25" s="213">
        <v>1.61</v>
      </c>
      <c r="D25" s="213">
        <v>1.03</v>
      </c>
      <c r="E25" s="214">
        <v>1.65</v>
      </c>
      <c r="F25" s="218">
        <v>3432.5</v>
      </c>
      <c r="G25" s="213">
        <v>4.7407190416033584</v>
      </c>
      <c r="H25" s="214">
        <v>4.7214905252965345</v>
      </c>
      <c r="I25" s="197">
        <f t="shared" si="0"/>
        <v>4.7407190416033584E-2</v>
      </c>
      <c r="J25" s="1"/>
      <c r="K25" s="1"/>
      <c r="L25" s="1"/>
      <c r="M25" s="1"/>
      <c r="N25" s="1"/>
      <c r="O25" s="1"/>
      <c r="P25" s="1"/>
      <c r="Q25" s="1"/>
      <c r="R25" s="1"/>
      <c r="S25" s="1"/>
    </row>
    <row r="26" spans="1:19">
      <c r="A26" s="217">
        <v>2021</v>
      </c>
      <c r="B26" s="213">
        <v>3</v>
      </c>
      <c r="C26" s="213">
        <v>5.62</v>
      </c>
      <c r="D26" s="213">
        <v>3.44</v>
      </c>
      <c r="E26" s="214">
        <v>18.628396848367924</v>
      </c>
      <c r="F26" s="218">
        <v>3981.16</v>
      </c>
      <c r="G26" s="213">
        <v>15.984268026219951</v>
      </c>
      <c r="H26" s="214">
        <v>9.1482544405388833</v>
      </c>
      <c r="I26" s="197">
        <f t="shared" si="0"/>
        <v>0.1598426802621995</v>
      </c>
      <c r="J26" s="1"/>
      <c r="K26" s="1"/>
      <c r="L26" s="1"/>
      <c r="M26" s="1"/>
      <c r="N26" s="1"/>
      <c r="O26" s="1"/>
      <c r="P26" s="1"/>
      <c r="Q26" s="1"/>
      <c r="R26" s="1"/>
      <c r="S26" s="1"/>
    </row>
    <row r="27" spans="1:19">
      <c r="A27" s="217">
        <v>2022</v>
      </c>
      <c r="B27" s="213">
        <v>3</v>
      </c>
      <c r="C27" s="213">
        <v>13.12</v>
      </c>
      <c r="D27" s="213">
        <v>9.99</v>
      </c>
      <c r="E27" s="214">
        <v>19.396814639105365</v>
      </c>
      <c r="F27" s="218">
        <v>4810.2</v>
      </c>
      <c r="G27" s="213">
        <v>20.824081423504715</v>
      </c>
      <c r="H27" s="214">
        <v>5.1919109367710048</v>
      </c>
      <c r="I27" s="197">
        <f t="shared" si="0"/>
        <v>0.20824081423504714</v>
      </c>
      <c r="J27" s="1"/>
      <c r="K27" s="1"/>
      <c r="L27" s="221"/>
      <c r="M27" s="1"/>
      <c r="N27" s="1"/>
      <c r="O27" s="1"/>
      <c r="P27" s="1"/>
      <c r="Q27" s="1"/>
      <c r="R27" s="1"/>
      <c r="S27" s="1"/>
    </row>
    <row r="28" spans="1:19">
      <c r="A28" s="217"/>
      <c r="B28" s="213"/>
      <c r="C28" s="213"/>
      <c r="D28" s="213"/>
      <c r="E28" s="214"/>
      <c r="F28" s="215"/>
      <c r="G28" s="213"/>
      <c r="H28" s="214"/>
      <c r="J28" s="1"/>
      <c r="K28" s="1"/>
      <c r="L28" s="1"/>
      <c r="M28" s="1"/>
      <c r="N28" s="1"/>
      <c r="O28" s="1"/>
      <c r="P28" s="1"/>
      <c r="Q28" s="1"/>
      <c r="R28" s="1"/>
      <c r="S28" s="1"/>
    </row>
    <row r="29" spans="1:19">
      <c r="A29" s="217"/>
      <c r="B29" s="222"/>
      <c r="C29" s="223" t="s">
        <v>3344</v>
      </c>
      <c r="D29" s="224"/>
      <c r="E29" s="225"/>
      <c r="F29" s="215"/>
      <c r="G29" s="223" t="s">
        <v>3344</v>
      </c>
      <c r="H29" s="214"/>
      <c r="J29" s="1"/>
      <c r="K29" s="1"/>
      <c r="L29" s="1"/>
      <c r="M29" s="1"/>
      <c r="N29" s="1"/>
      <c r="O29" s="1"/>
      <c r="P29" s="1"/>
      <c r="Q29" s="1"/>
      <c r="R29" s="1"/>
      <c r="S29" s="1"/>
    </row>
    <row r="30" spans="1:19" hidden="1">
      <c r="A30" s="226">
        <v>40544</v>
      </c>
      <c r="B30" s="213">
        <v>3</v>
      </c>
      <c r="C30" s="213">
        <v>3.4</v>
      </c>
      <c r="D30" s="213">
        <v>3.0377625719919754</v>
      </c>
      <c r="E30" s="213">
        <v>4.3282549000000001</v>
      </c>
      <c r="F30" s="215">
        <v>1857.98</v>
      </c>
      <c r="G30" s="213">
        <v>-6.2710299703877759</v>
      </c>
      <c r="H30" s="214">
        <v>-2.5865777906921905</v>
      </c>
      <c r="J30" s="1"/>
      <c r="K30" s="1"/>
      <c r="L30" s="1"/>
      <c r="M30" s="1"/>
      <c r="N30" s="1"/>
      <c r="O30" s="1"/>
      <c r="P30" s="1"/>
      <c r="Q30" s="1"/>
      <c r="R30" s="1"/>
      <c r="S30" s="1"/>
    </row>
    <row r="31" spans="1:19" hidden="1">
      <c r="A31" s="226">
        <v>40575</v>
      </c>
      <c r="B31" s="213">
        <v>3</v>
      </c>
      <c r="C31" s="213">
        <v>3.17</v>
      </c>
      <c r="D31" s="213">
        <v>2.9604251055753705</v>
      </c>
      <c r="E31" s="213">
        <v>4.6226060100000002</v>
      </c>
      <c r="F31" s="215">
        <v>1895.56</v>
      </c>
      <c r="G31" s="213">
        <v>-1.902376417984597</v>
      </c>
      <c r="H31" s="214">
        <v>2.4105880992354667</v>
      </c>
      <c r="J31" s="1"/>
      <c r="K31" s="1"/>
      <c r="L31" s="1"/>
      <c r="M31" s="1"/>
      <c r="N31" s="1"/>
      <c r="O31" s="1"/>
      <c r="P31" s="1"/>
      <c r="Q31" s="1"/>
      <c r="R31" s="1"/>
      <c r="S31" s="1"/>
    </row>
    <row r="32" spans="1:19" hidden="1">
      <c r="A32" s="226">
        <v>40603</v>
      </c>
      <c r="B32" s="213">
        <v>3</v>
      </c>
      <c r="C32" s="213">
        <v>3.19</v>
      </c>
      <c r="D32" s="213">
        <v>3.1346660332082665</v>
      </c>
      <c r="E32" s="213">
        <v>4.9793039099999996</v>
      </c>
      <c r="F32" s="215">
        <v>1879.47</v>
      </c>
      <c r="G32" s="213">
        <v>-2.5469384368891235</v>
      </c>
      <c r="H32" s="214">
        <v>5.18335201078306</v>
      </c>
      <c r="J32" s="1"/>
      <c r="K32" s="1"/>
      <c r="L32" s="1"/>
      <c r="M32" s="1"/>
      <c r="N32" s="1"/>
      <c r="O32" s="1"/>
      <c r="P32" s="1"/>
      <c r="Q32" s="1"/>
      <c r="R32" s="1"/>
      <c r="S32" s="1"/>
    </row>
    <row r="33" spans="1:19" hidden="1">
      <c r="A33" s="226">
        <v>40634</v>
      </c>
      <c r="B33" s="213">
        <v>3</v>
      </c>
      <c r="C33" s="213">
        <v>2.84</v>
      </c>
      <c r="D33" s="213">
        <v>3.0808916155433241</v>
      </c>
      <c r="E33" s="213">
        <v>4.7039670600000001</v>
      </c>
      <c r="F33" s="215">
        <v>1768.19</v>
      </c>
      <c r="G33" s="213">
        <v>-10.232770656174639</v>
      </c>
      <c r="H33" s="214">
        <v>1.0530497412170492</v>
      </c>
      <c r="J33" s="1"/>
      <c r="K33" s="1"/>
      <c r="L33" s="1"/>
      <c r="M33" s="1"/>
      <c r="N33" s="1"/>
      <c r="O33" s="1"/>
      <c r="P33" s="1"/>
      <c r="Q33" s="1"/>
      <c r="R33" s="1"/>
      <c r="S33" s="1"/>
    </row>
    <row r="34" spans="1:19" hidden="1">
      <c r="A34" s="226">
        <v>40664</v>
      </c>
      <c r="B34" s="213">
        <v>3</v>
      </c>
      <c r="C34" s="213">
        <v>3.02</v>
      </c>
      <c r="D34" s="213">
        <v>3.0303702529707044</v>
      </c>
      <c r="E34" s="213">
        <v>4.8127188800000003</v>
      </c>
      <c r="F34" s="215">
        <v>1817.34</v>
      </c>
      <c r="G34" s="213">
        <v>-7.8217646014557047</v>
      </c>
      <c r="H34" s="214">
        <v>-0.14130202860807017</v>
      </c>
      <c r="J34" s="1"/>
      <c r="K34" s="1"/>
      <c r="L34" s="1"/>
      <c r="M34" s="1"/>
      <c r="N34" s="1"/>
      <c r="O34" s="1"/>
      <c r="P34" s="1"/>
      <c r="Q34" s="1"/>
      <c r="R34" s="1"/>
      <c r="S34" s="1"/>
    </row>
    <row r="35" spans="1:19" hidden="1">
      <c r="A35" s="226">
        <v>40695</v>
      </c>
      <c r="B35" s="213">
        <v>3</v>
      </c>
      <c r="C35" s="213">
        <v>3.23</v>
      </c>
      <c r="D35" s="213">
        <v>3.119686636500596</v>
      </c>
      <c r="E35" s="213">
        <v>4.7185764099999998</v>
      </c>
      <c r="F35" s="215">
        <v>1780.16</v>
      </c>
      <c r="G35" s="213">
        <v>-7.1120712146353178</v>
      </c>
      <c r="H35" s="214">
        <v>2.0802402257808827</v>
      </c>
      <c r="J35" s="1"/>
      <c r="K35" s="1"/>
      <c r="L35" s="1"/>
      <c r="M35" s="1"/>
      <c r="N35" s="1"/>
      <c r="O35" s="1"/>
      <c r="P35" s="1"/>
      <c r="Q35" s="1"/>
      <c r="R35" s="1"/>
      <c r="S35" s="1"/>
    </row>
    <row r="36" spans="1:19" hidden="1">
      <c r="A36" s="226">
        <v>40725</v>
      </c>
      <c r="B36" s="213">
        <v>3</v>
      </c>
      <c r="C36" s="213">
        <v>3.42</v>
      </c>
      <c r="D36" s="213">
        <v>3.1288313755533759</v>
      </c>
      <c r="E36" s="213">
        <v>4.7728089999999996</v>
      </c>
      <c r="F36" s="215">
        <v>1777.82</v>
      </c>
      <c r="G36" s="213">
        <v>-3.5256323292399028</v>
      </c>
      <c r="H36" s="214">
        <v>2.9798392117181383</v>
      </c>
      <c r="J36" s="1"/>
      <c r="K36" s="1"/>
      <c r="L36" s="1"/>
      <c r="M36" s="1"/>
      <c r="N36" s="1"/>
      <c r="O36" s="1"/>
      <c r="P36" s="1"/>
      <c r="Q36" s="1"/>
      <c r="R36" s="1"/>
      <c r="S36" s="1"/>
    </row>
    <row r="37" spans="1:19" hidden="1">
      <c r="A37" s="226">
        <v>40756</v>
      </c>
      <c r="B37" s="213">
        <v>3</v>
      </c>
      <c r="C37" s="213">
        <v>3.27</v>
      </c>
      <c r="D37" s="213">
        <v>2.9983872298041669</v>
      </c>
      <c r="E37" s="213">
        <v>5.38249479</v>
      </c>
      <c r="F37" s="215">
        <v>1783.66</v>
      </c>
      <c r="G37" s="213">
        <v>-2.1976816870825866</v>
      </c>
      <c r="H37" s="214">
        <v>5.3002152264426394</v>
      </c>
      <c r="J37" s="1"/>
      <c r="K37" s="1"/>
      <c r="L37" s="1"/>
      <c r="M37" s="1"/>
      <c r="N37" s="1"/>
      <c r="O37" s="1"/>
      <c r="P37" s="1"/>
      <c r="Q37" s="1"/>
      <c r="R37" s="1"/>
      <c r="S37" s="1"/>
    </row>
    <row r="38" spans="1:19" hidden="1">
      <c r="A38" s="226">
        <v>40787</v>
      </c>
      <c r="B38" s="213">
        <v>3</v>
      </c>
      <c r="C38" s="213">
        <v>3.73</v>
      </c>
      <c r="D38" s="213">
        <v>3.214192542263028</v>
      </c>
      <c r="E38" s="213">
        <v>6.6866460300000004</v>
      </c>
      <c r="F38" s="215">
        <v>1915.1</v>
      </c>
      <c r="G38" s="213">
        <v>6.4009467245220497</v>
      </c>
      <c r="H38" s="214">
        <v>4.8230269530264991</v>
      </c>
      <c r="J38" s="1"/>
      <c r="K38" s="1"/>
      <c r="L38" s="1"/>
      <c r="M38" s="1"/>
      <c r="N38" s="1"/>
      <c r="O38" s="1"/>
      <c r="P38" s="1"/>
      <c r="Q38" s="1"/>
      <c r="R38" s="1"/>
      <c r="S38" s="1"/>
    </row>
    <row r="39" spans="1:19" hidden="1">
      <c r="A39" s="226">
        <v>40817</v>
      </c>
      <c r="B39" s="213">
        <v>3</v>
      </c>
      <c r="C39" s="213">
        <v>4.0199999999999996</v>
      </c>
      <c r="D39" s="213">
        <v>3.2631922559690274</v>
      </c>
      <c r="E39" s="213">
        <v>8.1766504999999992</v>
      </c>
      <c r="F39" s="215">
        <v>1863.06</v>
      </c>
      <c r="G39" s="213">
        <v>1.715402590028603</v>
      </c>
      <c r="H39" s="214">
        <v>3.8816335355118303</v>
      </c>
      <c r="J39" s="1"/>
      <c r="K39" s="1"/>
      <c r="L39" s="1"/>
      <c r="M39" s="1"/>
      <c r="N39" s="1"/>
      <c r="O39" s="1"/>
      <c r="P39" s="1"/>
      <c r="Q39" s="1"/>
      <c r="R39" s="1"/>
      <c r="S39" s="1"/>
    </row>
    <row r="40" spans="1:19" hidden="1">
      <c r="A40" s="226">
        <v>40848</v>
      </c>
      <c r="B40" s="213">
        <v>3</v>
      </c>
      <c r="C40" s="213">
        <v>3.96</v>
      </c>
      <c r="D40" s="213">
        <v>3.2967166546896465</v>
      </c>
      <c r="E40" s="213">
        <v>7.0860387999999999</v>
      </c>
      <c r="F40" s="215">
        <v>1967.18</v>
      </c>
      <c r="G40" s="213">
        <v>2.6197729738753006</v>
      </c>
      <c r="H40" s="214">
        <v>1.6686356115408918</v>
      </c>
      <c r="J40" s="1"/>
      <c r="K40" s="1"/>
      <c r="L40" s="1"/>
      <c r="M40" s="1"/>
      <c r="N40" s="1"/>
      <c r="O40" s="1"/>
      <c r="P40" s="1"/>
      <c r="Q40" s="1"/>
      <c r="R40" s="1"/>
      <c r="S40" s="1"/>
    </row>
    <row r="41" spans="1:19" hidden="1">
      <c r="A41" s="226">
        <v>40878</v>
      </c>
      <c r="B41" s="213">
        <v>3</v>
      </c>
      <c r="C41" s="213">
        <v>3.73</v>
      </c>
      <c r="D41" s="213">
        <v>3.3872121138011524</v>
      </c>
      <c r="E41" s="213">
        <v>5.51</v>
      </c>
      <c r="F41" s="215">
        <v>1942.7</v>
      </c>
      <c r="G41" s="213">
        <v>1.500538145644148</v>
      </c>
      <c r="H41" s="214">
        <v>-1.0638650846733877</v>
      </c>
      <c r="J41" s="1"/>
      <c r="K41" s="1"/>
      <c r="L41" s="1"/>
      <c r="M41" s="1"/>
      <c r="N41" s="1"/>
      <c r="O41" s="1"/>
      <c r="P41" s="1"/>
      <c r="Q41" s="1"/>
      <c r="R41" s="1"/>
      <c r="S41" s="1"/>
    </row>
    <row r="42" spans="1:19" hidden="1">
      <c r="A42" s="226">
        <v>40909</v>
      </c>
      <c r="B42" s="213">
        <v>3</v>
      </c>
      <c r="C42" s="213">
        <v>3.54</v>
      </c>
      <c r="D42" s="213">
        <v>3.3068990349444993</v>
      </c>
      <c r="E42" s="213">
        <v>3.75</v>
      </c>
      <c r="F42" s="215">
        <v>1815.08</v>
      </c>
      <c r="G42" s="213">
        <v>-2.3089591922410446</v>
      </c>
      <c r="H42" s="214">
        <v>-1.338562510783603</v>
      </c>
      <c r="J42" s="1"/>
      <c r="K42" s="1"/>
      <c r="L42" s="1"/>
      <c r="M42" s="1"/>
      <c r="N42" s="1"/>
      <c r="O42" s="1"/>
      <c r="P42" s="1"/>
      <c r="Q42" s="1"/>
      <c r="R42" s="1"/>
      <c r="S42" s="1"/>
    </row>
    <row r="43" spans="1:19" hidden="1">
      <c r="A43" s="226">
        <v>40940</v>
      </c>
      <c r="B43" s="213">
        <v>3</v>
      </c>
      <c r="C43" s="213">
        <v>3.55</v>
      </c>
      <c r="D43" s="213">
        <v>3.371436109127024</v>
      </c>
      <c r="E43" s="213">
        <v>2.72</v>
      </c>
      <c r="F43" s="215">
        <v>1767.83</v>
      </c>
      <c r="G43" s="213">
        <v>-6.74</v>
      </c>
      <c r="H43" s="214">
        <v>-4.2774387275450243</v>
      </c>
      <c r="J43" s="1"/>
      <c r="K43" s="1"/>
      <c r="L43" s="1"/>
      <c r="M43" s="1"/>
      <c r="N43" s="1"/>
      <c r="O43" s="1"/>
      <c r="P43" s="1"/>
      <c r="Q43" s="1"/>
      <c r="R43" s="1"/>
      <c r="S43" s="1"/>
    </row>
    <row r="44" spans="1:19" hidden="1">
      <c r="A44" s="226">
        <v>40969</v>
      </c>
      <c r="B44" s="213">
        <v>3</v>
      </c>
      <c r="C44" s="213">
        <v>3.4</v>
      </c>
      <c r="D44" s="213">
        <v>3.2556334804538567</v>
      </c>
      <c r="E44" s="213">
        <v>1.56</v>
      </c>
      <c r="F44" s="215">
        <v>1792.07</v>
      </c>
      <c r="G44" s="213">
        <v>-4.6500000000000004</v>
      </c>
      <c r="H44" s="214">
        <v>-5.8138403823833844</v>
      </c>
      <c r="J44" s="1"/>
      <c r="K44" s="1"/>
      <c r="L44" s="1"/>
      <c r="M44" s="1"/>
      <c r="N44" s="1"/>
      <c r="O44" s="1"/>
      <c r="P44" s="1"/>
      <c r="Q44" s="1"/>
      <c r="R44" s="1"/>
      <c r="S44" s="1"/>
    </row>
    <row r="45" spans="1:19" hidden="1">
      <c r="A45" s="226">
        <v>41000</v>
      </c>
      <c r="B45" s="213">
        <v>3</v>
      </c>
      <c r="C45" s="213">
        <v>3.43</v>
      </c>
      <c r="D45" s="213">
        <v>3.1365231799283633</v>
      </c>
      <c r="E45" s="213">
        <v>1.56</v>
      </c>
      <c r="F45" s="215">
        <v>1761.2</v>
      </c>
      <c r="G45" s="213">
        <v>-0.4</v>
      </c>
      <c r="H45" s="214">
        <v>-4.1956287990885581</v>
      </c>
      <c r="J45" s="1"/>
      <c r="K45" s="1"/>
      <c r="L45" s="1"/>
      <c r="M45" s="1"/>
      <c r="N45" s="1"/>
      <c r="O45" s="1"/>
      <c r="P45" s="1"/>
      <c r="Q45" s="1"/>
      <c r="R45" s="1"/>
      <c r="S45" s="1"/>
    </row>
    <row r="46" spans="1:19" hidden="1">
      <c r="A46" s="226">
        <v>41030</v>
      </c>
      <c r="B46" s="213">
        <v>3</v>
      </c>
      <c r="C46" s="213">
        <v>3.44</v>
      </c>
      <c r="D46" s="213">
        <v>3.2440245549216984</v>
      </c>
      <c r="E46" s="213">
        <v>0.80109084711095235</v>
      </c>
      <c r="F46" s="215">
        <v>1827.83</v>
      </c>
      <c r="G46" s="213">
        <v>0.57999999999999996</v>
      </c>
      <c r="H46" s="214">
        <v>-3.8132606600713492</v>
      </c>
      <c r="J46" s="1"/>
      <c r="K46" s="1"/>
      <c r="L46" s="1"/>
      <c r="M46" s="1"/>
      <c r="N46" s="1"/>
      <c r="O46" s="1"/>
      <c r="P46" s="1"/>
      <c r="Q46" s="1"/>
      <c r="R46" s="1"/>
      <c r="S46" s="1"/>
    </row>
    <row r="47" spans="1:19" hidden="1">
      <c r="A47" s="226">
        <v>41061</v>
      </c>
      <c r="B47" s="213">
        <v>3</v>
      </c>
      <c r="C47" s="213">
        <v>3.2</v>
      </c>
      <c r="D47" s="213">
        <v>3.0879381966098629</v>
      </c>
      <c r="E47" s="213">
        <v>-0.69</v>
      </c>
      <c r="F47" s="215">
        <v>1784.6</v>
      </c>
      <c r="G47" s="213">
        <v>0.25</v>
      </c>
      <c r="H47" s="214">
        <v>-3.1982029113693078</v>
      </c>
      <c r="J47" s="1"/>
      <c r="K47" s="1"/>
      <c r="L47" s="1"/>
      <c r="M47" s="1"/>
      <c r="N47" s="1"/>
      <c r="O47" s="1"/>
      <c r="P47" s="1"/>
      <c r="Q47" s="1"/>
      <c r="R47" s="1"/>
      <c r="S47" s="1"/>
    </row>
    <row r="48" spans="1:19" hidden="1">
      <c r="A48" s="226">
        <v>41091</v>
      </c>
      <c r="B48" s="213">
        <v>3</v>
      </c>
      <c r="C48" s="213">
        <v>3.03</v>
      </c>
      <c r="D48" s="213">
        <v>3.0141812066472706</v>
      </c>
      <c r="E48" s="213">
        <v>-0.31</v>
      </c>
      <c r="F48" s="215">
        <v>1789.02</v>
      </c>
      <c r="G48" s="213">
        <v>0.63</v>
      </c>
      <c r="H48" s="214">
        <v>-3.0333970181707692</v>
      </c>
      <c r="J48" s="1"/>
      <c r="K48" s="1"/>
      <c r="L48" s="1"/>
      <c r="M48" s="1"/>
      <c r="N48" s="1"/>
      <c r="O48" s="1"/>
      <c r="P48" s="1"/>
      <c r="Q48" s="1"/>
      <c r="R48" s="1"/>
      <c r="S48" s="1"/>
    </row>
    <row r="49" spans="1:19" hidden="1">
      <c r="A49" s="226">
        <v>41122</v>
      </c>
      <c r="B49" s="213">
        <v>3</v>
      </c>
      <c r="C49" s="213">
        <v>3.11</v>
      </c>
      <c r="D49" s="213">
        <v>3.0313574564957424</v>
      </c>
      <c r="E49" s="213">
        <v>0.12</v>
      </c>
      <c r="F49" s="215">
        <v>1830.5</v>
      </c>
      <c r="G49" s="213">
        <v>2.63</v>
      </c>
      <c r="H49" s="214">
        <v>-1.8759081964442315</v>
      </c>
      <c r="J49" s="1"/>
      <c r="K49" s="1"/>
      <c r="L49" s="1"/>
      <c r="M49" s="1"/>
      <c r="N49" s="1"/>
      <c r="O49" s="1"/>
      <c r="P49" s="1"/>
      <c r="Q49" s="1"/>
      <c r="R49" s="1"/>
      <c r="S49" s="1"/>
    </row>
    <row r="50" spans="1:19" hidden="1">
      <c r="A50" s="226">
        <v>41153</v>
      </c>
      <c r="B50" s="213">
        <v>3</v>
      </c>
      <c r="C50" s="213">
        <v>3.08</v>
      </c>
      <c r="D50" s="213">
        <v>3.1165141336901847</v>
      </c>
      <c r="E50" s="213">
        <v>0.11</v>
      </c>
      <c r="F50" s="215">
        <v>1800.52</v>
      </c>
      <c r="G50" s="213">
        <v>-5.98</v>
      </c>
      <c r="H50" s="214">
        <v>-1.7586031688048731</v>
      </c>
      <c r="J50" s="1"/>
      <c r="K50" s="1"/>
      <c r="L50" s="1"/>
      <c r="M50" s="1"/>
      <c r="N50" s="1"/>
      <c r="O50" s="1"/>
      <c r="P50" s="1"/>
      <c r="Q50" s="1"/>
      <c r="R50" s="1"/>
      <c r="S50" s="1"/>
    </row>
    <row r="51" spans="1:19" hidden="1">
      <c r="A51" s="226">
        <v>41183</v>
      </c>
      <c r="B51" s="213">
        <v>3</v>
      </c>
      <c r="C51" s="213">
        <v>3.06</v>
      </c>
      <c r="D51" s="213">
        <v>3.1200029562308274</v>
      </c>
      <c r="E51" s="213">
        <v>-1.1299999999999999</v>
      </c>
      <c r="F51" s="215">
        <v>1829.89</v>
      </c>
      <c r="G51" s="213">
        <v>-1.78</v>
      </c>
      <c r="H51" s="214">
        <v>-3.5033176928557341</v>
      </c>
      <c r="J51" s="1"/>
      <c r="K51" s="1"/>
      <c r="L51" s="1"/>
      <c r="M51" s="1"/>
      <c r="N51" s="1"/>
      <c r="O51" s="1"/>
      <c r="P51" s="1"/>
      <c r="Q51" s="1"/>
      <c r="R51" s="1"/>
      <c r="S51" s="1"/>
    </row>
    <row r="52" spans="1:19" hidden="1">
      <c r="A52" s="226">
        <v>41214</v>
      </c>
      <c r="B52" s="213">
        <v>3</v>
      </c>
      <c r="C52" s="213">
        <v>2.77</v>
      </c>
      <c r="D52" s="213">
        <v>2.9381871850244545</v>
      </c>
      <c r="E52" s="213">
        <v>-2.09</v>
      </c>
      <c r="F52" s="215">
        <v>1817.93</v>
      </c>
      <c r="G52" s="213">
        <v>-7.59</v>
      </c>
      <c r="H52" s="214">
        <v>-3.0346300486945865</v>
      </c>
      <c r="J52" s="1"/>
      <c r="K52" s="1"/>
      <c r="L52" s="1"/>
      <c r="M52" s="1"/>
      <c r="N52" s="1"/>
      <c r="O52" s="1"/>
      <c r="P52" s="1"/>
      <c r="Q52" s="1"/>
      <c r="R52" s="1"/>
      <c r="S52" s="1"/>
    </row>
    <row r="53" spans="1:19" hidden="1">
      <c r="A53" s="226">
        <v>41244</v>
      </c>
      <c r="B53" s="213">
        <v>3</v>
      </c>
      <c r="C53" s="213">
        <v>2.44</v>
      </c>
      <c r="D53" s="213">
        <v>2.6695864841334016</v>
      </c>
      <c r="E53" s="213">
        <v>-2.95</v>
      </c>
      <c r="F53" s="215">
        <v>1768.23</v>
      </c>
      <c r="G53" s="213">
        <v>-8.98</v>
      </c>
      <c r="H53" s="214">
        <v>-2.7640191452109164</v>
      </c>
      <c r="J53" s="1"/>
      <c r="K53" s="1"/>
      <c r="L53" s="1"/>
      <c r="M53" s="1"/>
      <c r="N53" s="1"/>
      <c r="O53" s="1"/>
      <c r="P53" s="1"/>
      <c r="Q53" s="1"/>
      <c r="R53" s="1"/>
      <c r="S53" s="1"/>
    </row>
    <row r="54" spans="1:19" hidden="1">
      <c r="A54" s="226">
        <v>41275</v>
      </c>
      <c r="B54" s="213">
        <v>3</v>
      </c>
      <c r="C54" s="213">
        <v>2</v>
      </c>
      <c r="D54" s="213">
        <v>2.30634941419261</v>
      </c>
      <c r="E54" s="213">
        <v>-2.5099999999999998</v>
      </c>
      <c r="F54" s="215">
        <v>1773.24</v>
      </c>
      <c r="G54" s="213">
        <v>-2.31</v>
      </c>
      <c r="H54" s="214">
        <v>-0.17991614601970962</v>
      </c>
      <c r="J54" s="1"/>
      <c r="K54" s="1"/>
      <c r="L54" s="1"/>
      <c r="M54" s="1"/>
      <c r="N54" s="1"/>
      <c r="O54" s="1"/>
      <c r="P54" s="1"/>
      <c r="Q54" s="1"/>
      <c r="R54" s="1"/>
      <c r="S54" s="1"/>
    </row>
    <row r="55" spans="1:19" hidden="1">
      <c r="A55" s="226">
        <v>41306</v>
      </c>
      <c r="B55" s="213">
        <v>3</v>
      </c>
      <c r="C55" s="213">
        <v>1.83</v>
      </c>
      <c r="D55" s="213">
        <v>2.2428269767121423</v>
      </c>
      <c r="E55" s="213">
        <v>-2.4700000000000002</v>
      </c>
      <c r="F55" s="215">
        <v>1816.42</v>
      </c>
      <c r="G55" s="213">
        <v>2.75</v>
      </c>
      <c r="H55" s="214">
        <v>2.4160467920785189</v>
      </c>
      <c r="J55" s="1"/>
      <c r="K55" s="1"/>
      <c r="L55" s="1"/>
      <c r="M55" s="1"/>
      <c r="N55" s="1"/>
      <c r="O55" s="1"/>
      <c r="P55" s="1"/>
      <c r="Q55" s="1"/>
      <c r="R55" s="1"/>
      <c r="S55" s="1"/>
    </row>
    <row r="56" spans="1:19" hidden="1">
      <c r="A56" s="226">
        <v>41334</v>
      </c>
      <c r="B56" s="213">
        <v>3</v>
      </c>
      <c r="C56" s="213">
        <v>1.91</v>
      </c>
      <c r="D56" s="213">
        <v>2.2273055029808919</v>
      </c>
      <c r="E56" s="213">
        <v>-1.9</v>
      </c>
      <c r="F56" s="215">
        <v>1832.2</v>
      </c>
      <c r="G56" s="213">
        <v>2.2400000000000002</v>
      </c>
      <c r="H56" s="214">
        <v>2.5721849421905585</v>
      </c>
      <c r="J56" s="1"/>
      <c r="K56" s="1"/>
      <c r="L56" s="1"/>
      <c r="M56" s="1"/>
      <c r="N56" s="1"/>
      <c r="O56" s="1"/>
      <c r="P56" s="1"/>
      <c r="Q56" s="1"/>
      <c r="R56" s="1"/>
      <c r="S56" s="1"/>
    </row>
    <row r="57" spans="1:19" hidden="1">
      <c r="A57" s="226">
        <v>41365</v>
      </c>
      <c r="B57" s="213">
        <v>3</v>
      </c>
      <c r="C57" s="213">
        <v>2.02</v>
      </c>
      <c r="D57" s="213">
        <v>2.3190366745798219</v>
      </c>
      <c r="E57" s="213">
        <v>-2.42</v>
      </c>
      <c r="F57" s="215">
        <v>1828.79</v>
      </c>
      <c r="G57" s="213">
        <v>3.84</v>
      </c>
      <c r="H57" s="214">
        <v>3.9901266598084906</v>
      </c>
      <c r="J57" s="1"/>
      <c r="K57" s="1"/>
      <c r="L57" s="1"/>
      <c r="M57" s="1"/>
      <c r="N57" s="1"/>
      <c r="O57" s="1"/>
      <c r="P57" s="1"/>
      <c r="Q57" s="1"/>
      <c r="R57" s="1"/>
      <c r="S57" s="1"/>
    </row>
    <row r="58" spans="1:19" hidden="1">
      <c r="A58" s="226">
        <v>41395</v>
      </c>
      <c r="B58" s="213">
        <v>3</v>
      </c>
      <c r="C58" s="213">
        <v>2</v>
      </c>
      <c r="D58" s="213">
        <v>2.3955519384465829</v>
      </c>
      <c r="E58" s="213">
        <v>-2.09</v>
      </c>
      <c r="F58" s="215">
        <v>1891.48</v>
      </c>
      <c r="G58" s="213">
        <v>3.48</v>
      </c>
      <c r="H58" s="214">
        <v>5.399081536510919</v>
      </c>
      <c r="J58" s="1"/>
      <c r="K58" s="1"/>
      <c r="L58" s="1"/>
      <c r="M58" s="1"/>
      <c r="N58" s="1"/>
      <c r="O58" s="1"/>
      <c r="P58" s="1"/>
      <c r="Q58" s="1"/>
      <c r="R58" s="1"/>
      <c r="S58" s="1"/>
    </row>
    <row r="59" spans="1:19" hidden="1">
      <c r="A59" s="226">
        <v>41426</v>
      </c>
      <c r="B59" s="213">
        <v>3</v>
      </c>
      <c r="C59" s="213">
        <v>2.16</v>
      </c>
      <c r="D59" s="213">
        <v>2.5903861771320091</v>
      </c>
      <c r="E59" s="213">
        <v>-0.2</v>
      </c>
      <c r="F59" s="215">
        <v>1929</v>
      </c>
      <c r="G59" s="213">
        <v>8.09</v>
      </c>
      <c r="H59" s="214">
        <v>7.9130970568461967</v>
      </c>
      <c r="J59" s="1"/>
      <c r="K59" s="1"/>
      <c r="L59" s="1"/>
      <c r="M59" s="1"/>
      <c r="N59" s="1"/>
      <c r="O59" s="1"/>
      <c r="P59" s="1"/>
      <c r="Q59" s="1"/>
      <c r="R59" s="1"/>
      <c r="S59" s="1"/>
    </row>
    <row r="60" spans="1:19" hidden="1">
      <c r="A60" s="226">
        <v>41456</v>
      </c>
      <c r="B60" s="213">
        <v>3</v>
      </c>
      <c r="C60" s="213">
        <v>2.2200000000000002</v>
      </c>
      <c r="D60" s="213">
        <v>2.5626818705570598</v>
      </c>
      <c r="E60" s="213">
        <v>-0.02</v>
      </c>
      <c r="F60" s="215">
        <v>1890.33</v>
      </c>
      <c r="G60" s="213">
        <v>5.66</v>
      </c>
      <c r="H60" s="214">
        <v>7.0850330596468503</v>
      </c>
      <c r="J60" s="1"/>
      <c r="K60" s="1"/>
      <c r="L60" s="1"/>
      <c r="M60" s="1"/>
      <c r="N60" s="1"/>
      <c r="O60" s="1"/>
      <c r="P60" s="1"/>
      <c r="Q60" s="1"/>
      <c r="R60" s="1"/>
      <c r="S60" s="1"/>
    </row>
    <row r="61" spans="1:19" hidden="1">
      <c r="A61" s="226">
        <v>41487</v>
      </c>
      <c r="B61" s="213">
        <v>3</v>
      </c>
      <c r="C61" s="213">
        <v>2.27</v>
      </c>
      <c r="D61" s="213">
        <v>2.5797031487683197</v>
      </c>
      <c r="E61" s="213">
        <v>-0.51</v>
      </c>
      <c r="F61" s="215">
        <v>1935.43</v>
      </c>
      <c r="G61" s="213">
        <v>5.7323135755258159</v>
      </c>
      <c r="H61" s="214">
        <v>5.2633865635064003</v>
      </c>
      <c r="J61" s="1"/>
      <c r="K61" s="1"/>
      <c r="L61" s="1"/>
      <c r="M61" s="1"/>
      <c r="N61" s="1"/>
      <c r="O61" s="1"/>
      <c r="P61" s="1"/>
      <c r="Q61" s="1"/>
      <c r="R61" s="1"/>
      <c r="S61" s="1"/>
    </row>
    <row r="62" spans="1:19" hidden="1">
      <c r="A62" s="226">
        <v>41518</v>
      </c>
      <c r="B62" s="213">
        <v>3</v>
      </c>
      <c r="C62" s="213">
        <v>2.27</v>
      </c>
      <c r="D62" s="213">
        <v>2.5099251412679546</v>
      </c>
      <c r="E62" s="213">
        <v>-1.33</v>
      </c>
      <c r="F62" s="215">
        <v>1914.65</v>
      </c>
      <c r="G62" s="213">
        <v>6.338724368515769</v>
      </c>
      <c r="H62" s="214">
        <v>6.0317326603834154</v>
      </c>
      <c r="J62" s="1"/>
      <c r="K62" s="1"/>
      <c r="L62" s="1"/>
      <c r="M62" s="1"/>
      <c r="N62" s="1"/>
      <c r="O62" s="1"/>
      <c r="P62" s="1"/>
      <c r="Q62" s="1"/>
      <c r="R62" s="1"/>
      <c r="S62" s="1"/>
    </row>
    <row r="63" spans="1:19" hidden="1">
      <c r="A63" s="226">
        <v>41548</v>
      </c>
      <c r="B63" s="213">
        <v>3</v>
      </c>
      <c r="C63" s="213">
        <v>1.84</v>
      </c>
      <c r="D63" s="213">
        <v>2.4184668256876929</v>
      </c>
      <c r="E63" s="213">
        <v>-1.9</v>
      </c>
      <c r="F63" s="215">
        <v>1884.06</v>
      </c>
      <c r="G63" s="213">
        <v>2.9602872303799543</v>
      </c>
      <c r="H63" s="214">
        <v>4.8701736815674801</v>
      </c>
      <c r="J63" s="1"/>
      <c r="K63" s="1"/>
      <c r="L63" s="1"/>
      <c r="M63" s="1"/>
      <c r="N63" s="1"/>
      <c r="O63" s="1"/>
      <c r="P63" s="1"/>
      <c r="Q63" s="1"/>
      <c r="R63" s="1"/>
      <c r="S63" s="1"/>
    </row>
    <row r="64" spans="1:19" hidden="1">
      <c r="A64" s="226">
        <v>41579</v>
      </c>
      <c r="B64" s="213">
        <v>3</v>
      </c>
      <c r="C64" s="213">
        <v>1.76</v>
      </c>
      <c r="D64" s="213">
        <v>2.3046463183193477</v>
      </c>
      <c r="E64" s="213">
        <v>-1.33</v>
      </c>
      <c r="F64" s="215">
        <v>1931.88</v>
      </c>
      <c r="G64" s="213">
        <v>6.268118134361611</v>
      </c>
      <c r="H64" s="214">
        <v>4.8168132572976141</v>
      </c>
      <c r="J64" s="1"/>
      <c r="K64" s="1"/>
      <c r="L64" s="1"/>
      <c r="M64" s="1"/>
      <c r="N64" s="1"/>
      <c r="O64" s="1"/>
      <c r="P64" s="1"/>
      <c r="Q64" s="1"/>
      <c r="R64" s="1"/>
      <c r="S64" s="1"/>
    </row>
    <row r="65" spans="1:19" hidden="1">
      <c r="A65" s="226">
        <v>41609</v>
      </c>
      <c r="B65" s="213">
        <v>3</v>
      </c>
      <c r="C65" s="213">
        <v>1.94</v>
      </c>
      <c r="D65" s="213">
        <v>2.4619227415656031</v>
      </c>
      <c r="E65" s="213">
        <v>-0.49</v>
      </c>
      <c r="F65" s="215">
        <v>1926.83</v>
      </c>
      <c r="G65" s="213">
        <v>8.9694213987999269</v>
      </c>
      <c r="H65" s="214">
        <v>6.1538308470996839</v>
      </c>
      <c r="J65" s="1"/>
      <c r="K65" s="1"/>
      <c r="L65" s="1"/>
      <c r="M65" s="1"/>
      <c r="N65" s="1"/>
      <c r="O65" s="1"/>
      <c r="P65" s="1"/>
      <c r="Q65" s="1"/>
      <c r="R65" s="1"/>
      <c r="S65" s="1"/>
    </row>
    <row r="66" spans="1:19" hidden="1">
      <c r="A66" s="226">
        <v>41640</v>
      </c>
      <c r="B66" s="213">
        <v>3</v>
      </c>
      <c r="C66" s="213">
        <v>2.13</v>
      </c>
      <c r="D66" s="213">
        <v>2.5815226338145481</v>
      </c>
      <c r="E66" s="213">
        <v>0.22</v>
      </c>
      <c r="F66" s="215">
        <v>2008.26</v>
      </c>
      <c r="G66" s="213">
        <v>13.25</v>
      </c>
      <c r="H66" s="214">
        <v>7.3550844271661475</v>
      </c>
      <c r="J66" s="1"/>
      <c r="K66" s="1"/>
      <c r="L66" s="1"/>
      <c r="M66" s="1"/>
      <c r="N66" s="1"/>
      <c r="O66" s="1"/>
      <c r="P66" s="1"/>
      <c r="Q66" s="1"/>
      <c r="R66" s="1"/>
      <c r="S66" s="1"/>
    </row>
    <row r="67" spans="1:19" hidden="1">
      <c r="A67" s="226">
        <v>41671</v>
      </c>
      <c r="B67" s="213">
        <v>3</v>
      </c>
      <c r="C67" s="213">
        <v>2.3199999999999998</v>
      </c>
      <c r="D67" s="213">
        <v>2.6781491060374307</v>
      </c>
      <c r="E67" s="213">
        <v>1.27</v>
      </c>
      <c r="F67" s="215">
        <v>2054.9</v>
      </c>
      <c r="G67" s="213">
        <v>13.13</v>
      </c>
      <c r="H67" s="214">
        <v>10.06284285768726</v>
      </c>
      <c r="J67" s="1"/>
      <c r="K67" s="1"/>
      <c r="L67" s="1"/>
      <c r="M67" s="1"/>
      <c r="N67" s="1"/>
      <c r="O67" s="1"/>
      <c r="P67" s="1"/>
      <c r="Q67" s="1"/>
      <c r="R67" s="1"/>
      <c r="S67" s="1"/>
    </row>
    <row r="68" spans="1:19" hidden="1">
      <c r="A68" s="226">
        <v>41699</v>
      </c>
      <c r="B68" s="213">
        <v>3</v>
      </c>
      <c r="C68" s="213">
        <v>2.5099999999999998</v>
      </c>
      <c r="D68" s="213">
        <v>2.785907435342172</v>
      </c>
      <c r="E68" s="213">
        <v>2.63</v>
      </c>
      <c r="F68" s="215">
        <v>1965.32</v>
      </c>
      <c r="G68" s="213">
        <v>7.27</v>
      </c>
      <c r="H68" s="214">
        <v>7.8645238484796209</v>
      </c>
      <c r="J68" s="1"/>
      <c r="K68" s="1"/>
      <c r="L68" s="1"/>
      <c r="M68" s="1"/>
      <c r="N68" s="1"/>
      <c r="O68" s="1"/>
      <c r="P68" s="1"/>
      <c r="Q68" s="1"/>
      <c r="R68" s="1"/>
      <c r="S68" s="1"/>
    </row>
    <row r="69" spans="1:19" hidden="1">
      <c r="A69" s="226">
        <v>41730</v>
      </c>
      <c r="B69" s="213">
        <v>3</v>
      </c>
      <c r="C69" s="213">
        <v>2.72</v>
      </c>
      <c r="D69" s="213">
        <v>2.9476804098431897</v>
      </c>
      <c r="E69" s="213">
        <v>3.4</v>
      </c>
      <c r="F69" s="215">
        <v>1935.14</v>
      </c>
      <c r="G69" s="213">
        <v>5.82</v>
      </c>
      <c r="H69" s="214">
        <v>1.9857522574342923</v>
      </c>
      <c r="J69" s="1"/>
      <c r="K69" s="1"/>
      <c r="L69" s="1"/>
      <c r="M69" s="1"/>
      <c r="N69" s="1"/>
      <c r="O69" s="1"/>
      <c r="P69" s="1"/>
      <c r="Q69" s="1"/>
      <c r="R69" s="1"/>
      <c r="S69" s="1"/>
    </row>
    <row r="70" spans="1:19" hidden="1">
      <c r="A70" s="226">
        <v>41760</v>
      </c>
      <c r="B70" s="213">
        <v>3</v>
      </c>
      <c r="C70" s="213">
        <v>2.93</v>
      </c>
      <c r="D70" s="213">
        <v>2.8714947791180556</v>
      </c>
      <c r="E70" s="213">
        <v>3.08</v>
      </c>
      <c r="F70" s="215">
        <v>1900.64</v>
      </c>
      <c r="G70" s="213">
        <v>0.48</v>
      </c>
      <c r="H70" s="214">
        <v>0.49872652409124196</v>
      </c>
      <c r="J70" s="1"/>
      <c r="K70" s="1"/>
      <c r="L70" s="1"/>
      <c r="M70" s="1"/>
      <c r="N70" s="1"/>
      <c r="O70" s="1"/>
      <c r="P70" s="1"/>
      <c r="Q70" s="1"/>
      <c r="R70" s="1"/>
      <c r="S70" s="1"/>
    </row>
    <row r="71" spans="1:19" hidden="1">
      <c r="A71" s="226">
        <v>41791</v>
      </c>
      <c r="B71" s="213">
        <v>3</v>
      </c>
      <c r="C71" s="213">
        <v>2.79</v>
      </c>
      <c r="D71" s="213">
        <v>2.7533175731517812</v>
      </c>
      <c r="E71" s="213">
        <v>2.4900000000000002</v>
      </c>
      <c r="F71" s="215">
        <v>1881.19</v>
      </c>
      <c r="G71" s="213">
        <v>-2.48</v>
      </c>
      <c r="H71" s="214">
        <v>-2.9221823401883729</v>
      </c>
      <c r="J71" s="1"/>
      <c r="K71" s="1"/>
      <c r="L71" s="1"/>
      <c r="M71" s="1"/>
      <c r="N71" s="1"/>
      <c r="O71" s="1"/>
      <c r="P71" s="1"/>
      <c r="Q71" s="1"/>
      <c r="R71" s="1"/>
      <c r="S71" s="1"/>
    </row>
    <row r="72" spans="1:19" hidden="1">
      <c r="A72" s="226">
        <v>41821</v>
      </c>
      <c r="B72" s="213">
        <v>3</v>
      </c>
      <c r="C72" s="213">
        <v>2.89</v>
      </c>
      <c r="D72" s="213">
        <v>2.8269627384060803</v>
      </c>
      <c r="E72" s="213">
        <v>2.2599999999999998</v>
      </c>
      <c r="F72" s="215">
        <v>1872.43</v>
      </c>
      <c r="G72" s="213">
        <v>-0.95</v>
      </c>
      <c r="H72" s="214">
        <v>-3.8133375678157333</v>
      </c>
      <c r="J72" s="1"/>
      <c r="K72" s="1"/>
      <c r="L72" s="1"/>
      <c r="M72" s="1"/>
      <c r="N72" s="1"/>
      <c r="O72" s="1"/>
      <c r="P72" s="1"/>
      <c r="Q72" s="1"/>
      <c r="R72" s="1"/>
      <c r="S72" s="1"/>
    </row>
    <row r="73" spans="1:19" hidden="1">
      <c r="A73" s="226">
        <v>41852</v>
      </c>
      <c r="B73" s="213">
        <v>3</v>
      </c>
      <c r="C73" s="213">
        <v>3.02</v>
      </c>
      <c r="D73" s="213">
        <v>2.9100240316419779</v>
      </c>
      <c r="E73" s="213">
        <v>2.96</v>
      </c>
      <c r="F73" s="215">
        <v>1918.62</v>
      </c>
      <c r="G73" s="213">
        <v>-0.87</v>
      </c>
      <c r="H73" s="214">
        <v>-3.0455586454082195</v>
      </c>
      <c r="J73" s="1"/>
      <c r="K73" s="1"/>
      <c r="L73" s="1"/>
      <c r="M73" s="1"/>
      <c r="N73" s="1"/>
      <c r="O73" s="1"/>
      <c r="P73" s="1"/>
      <c r="Q73" s="1"/>
      <c r="R73" s="1"/>
      <c r="S73" s="1"/>
    </row>
    <row r="74" spans="1:19" hidden="1">
      <c r="A74" s="226">
        <v>41883</v>
      </c>
      <c r="B74" s="213">
        <v>3</v>
      </c>
      <c r="C74" s="213">
        <v>2.86</v>
      </c>
      <c r="D74" s="213">
        <v>2.7603617222238253</v>
      </c>
      <c r="E74" s="213">
        <v>3.66</v>
      </c>
      <c r="F74" s="215">
        <v>2028.48</v>
      </c>
      <c r="G74" s="213">
        <v>5.95</v>
      </c>
      <c r="H74" s="214">
        <v>-2.0536035899209049</v>
      </c>
      <c r="J74" s="1"/>
      <c r="K74" s="1"/>
      <c r="L74" s="1"/>
      <c r="M74" s="1"/>
      <c r="N74" s="1"/>
      <c r="O74" s="1"/>
      <c r="P74" s="1"/>
      <c r="Q74" s="1"/>
      <c r="R74" s="1"/>
      <c r="S74" s="1"/>
    </row>
    <row r="75" spans="1:19" hidden="1">
      <c r="A75" s="226">
        <v>41913</v>
      </c>
      <c r="B75" s="213">
        <v>3</v>
      </c>
      <c r="C75" s="213">
        <v>3.29</v>
      </c>
      <c r="D75" s="213">
        <v>2.9702742845097552</v>
      </c>
      <c r="E75" s="213">
        <v>4.93</v>
      </c>
      <c r="F75" s="215">
        <v>2050.52</v>
      </c>
      <c r="G75" s="213">
        <v>8.84</v>
      </c>
      <c r="H75" s="214">
        <v>0.45312918878104291</v>
      </c>
      <c r="J75" s="1"/>
      <c r="K75" s="1"/>
      <c r="L75" s="1"/>
      <c r="M75" s="1"/>
      <c r="N75" s="1"/>
      <c r="O75" s="1"/>
      <c r="P75" s="1"/>
      <c r="Q75" s="1"/>
      <c r="R75" s="1"/>
      <c r="S75" s="1"/>
    </row>
    <row r="76" spans="1:19" hidden="1">
      <c r="A76" s="226">
        <v>41944</v>
      </c>
      <c r="B76" s="213">
        <v>3</v>
      </c>
      <c r="C76" s="213">
        <v>3.65</v>
      </c>
      <c r="D76" s="213">
        <v>3.2199368262657346</v>
      </c>
      <c r="E76" s="213">
        <v>5.1150783200000003</v>
      </c>
      <c r="F76" s="215">
        <v>2206.19</v>
      </c>
      <c r="G76" s="213">
        <v>14.2</v>
      </c>
      <c r="H76" s="214">
        <v>2.2852862367859883</v>
      </c>
      <c r="J76" s="1"/>
      <c r="K76" s="1"/>
      <c r="L76" s="1"/>
      <c r="M76" s="1"/>
      <c r="N76" s="1"/>
      <c r="O76" s="1"/>
      <c r="P76" s="1"/>
      <c r="Q76" s="1"/>
      <c r="R76" s="1"/>
      <c r="S76" s="1"/>
    </row>
    <row r="77" spans="1:19" hidden="1">
      <c r="A77" s="226">
        <v>41974</v>
      </c>
      <c r="B77" s="213">
        <v>3</v>
      </c>
      <c r="C77" s="213">
        <v>3.66</v>
      </c>
      <c r="D77" s="213">
        <v>3.2841451989137793</v>
      </c>
      <c r="E77" s="213">
        <v>6.3317398899999997</v>
      </c>
      <c r="F77" s="215">
        <v>2392.46</v>
      </c>
      <c r="G77" s="213">
        <v>24.17</v>
      </c>
      <c r="H77" s="214">
        <v>7.5154521631712434</v>
      </c>
      <c r="J77" s="1"/>
      <c r="K77" s="1"/>
      <c r="L77" s="1"/>
      <c r="M77" s="1"/>
      <c r="N77" s="1"/>
      <c r="O77" s="1"/>
      <c r="P77" s="1"/>
      <c r="Q77" s="1"/>
      <c r="R77" s="1"/>
      <c r="S77" s="1"/>
    </row>
    <row r="78" spans="1:19" hidden="1">
      <c r="A78" s="226">
        <v>42005</v>
      </c>
      <c r="B78" s="213">
        <v>3</v>
      </c>
      <c r="C78" s="213">
        <v>3.820621205537944</v>
      </c>
      <c r="D78" s="213">
        <v>3.2443017193342305</v>
      </c>
      <c r="E78" s="213">
        <v>6.3582594000844983</v>
      </c>
      <c r="F78" s="215">
        <v>2441.1</v>
      </c>
      <c r="G78" s="213">
        <v>21.55</v>
      </c>
      <c r="H78" s="214">
        <v>6.1710304529256632</v>
      </c>
      <c r="J78" s="1"/>
      <c r="K78" s="1"/>
      <c r="L78" s="1"/>
      <c r="M78" s="1"/>
      <c r="N78" s="1"/>
      <c r="O78" s="1"/>
      <c r="P78" s="1"/>
      <c r="Q78" s="1"/>
      <c r="R78" s="1"/>
      <c r="S78" s="1"/>
    </row>
    <row r="79" spans="1:19" hidden="1">
      <c r="A79" s="226">
        <v>42036</v>
      </c>
      <c r="B79" s="213">
        <v>3</v>
      </c>
      <c r="C79" s="213">
        <v>4.3600000000000003</v>
      </c>
      <c r="D79" s="213">
        <v>3.4062459422456559</v>
      </c>
      <c r="E79" s="213">
        <v>4.9879995825941714</v>
      </c>
      <c r="F79" s="215">
        <v>2496.9899999999998</v>
      </c>
      <c r="G79" s="213">
        <v>21.51</v>
      </c>
      <c r="H79" s="214">
        <v>0.95833894878587511</v>
      </c>
      <c r="J79" s="1"/>
      <c r="K79" s="1"/>
      <c r="L79" s="1"/>
      <c r="M79" s="1"/>
      <c r="N79" s="1"/>
      <c r="O79" s="1"/>
      <c r="P79" s="1"/>
      <c r="Q79" s="1"/>
      <c r="R79" s="1"/>
      <c r="S79" s="1"/>
    </row>
    <row r="80" spans="1:19" hidden="1">
      <c r="A80" s="226">
        <v>42064</v>
      </c>
      <c r="B80" s="213">
        <v>3</v>
      </c>
      <c r="C80" s="213">
        <v>4.5599999999999996</v>
      </c>
      <c r="D80" s="213">
        <v>3.4721940835219511</v>
      </c>
      <c r="E80" s="213">
        <v>5.109264389042778</v>
      </c>
      <c r="F80" s="215">
        <v>2576.0500000000002</v>
      </c>
      <c r="G80" s="213">
        <v>31.08</v>
      </c>
      <c r="H80" s="214">
        <v>6.3937383645639612</v>
      </c>
      <c r="J80" s="1"/>
      <c r="K80" s="1"/>
      <c r="L80" s="1"/>
      <c r="M80" s="1"/>
      <c r="N80" s="1"/>
      <c r="O80" s="1"/>
      <c r="P80" s="1"/>
      <c r="Q80" s="1"/>
      <c r="R80" s="1"/>
      <c r="S80" s="1"/>
    </row>
    <row r="81" spans="1:19" hidden="1">
      <c r="A81" s="226">
        <v>42095</v>
      </c>
      <c r="B81" s="213">
        <v>3</v>
      </c>
      <c r="C81" s="213">
        <v>4.6399999999999997</v>
      </c>
      <c r="D81" s="213">
        <v>3.5734207704089416</v>
      </c>
      <c r="E81" s="213">
        <v>4.3007457350086709</v>
      </c>
      <c r="F81" s="215">
        <v>2388.06</v>
      </c>
      <c r="G81" s="213">
        <v>23.41</v>
      </c>
      <c r="H81" s="214">
        <v>8.3685164505345142</v>
      </c>
      <c r="J81" s="1"/>
      <c r="K81" s="1"/>
      <c r="L81" s="1"/>
      <c r="M81" s="1"/>
      <c r="N81" s="1"/>
      <c r="O81" s="1"/>
      <c r="P81" s="1"/>
      <c r="Q81" s="1"/>
      <c r="R81" s="1"/>
      <c r="S81" s="1"/>
    </row>
    <row r="82" spans="1:19" hidden="1">
      <c r="A82" s="226">
        <v>42125</v>
      </c>
      <c r="B82" s="213">
        <v>3</v>
      </c>
      <c r="C82" s="213">
        <v>4.41</v>
      </c>
      <c r="D82" s="213">
        <v>3.7965189085413353</v>
      </c>
      <c r="E82" s="213">
        <v>3.7332515086427431</v>
      </c>
      <c r="F82" s="215">
        <v>2533.79</v>
      </c>
      <c r="G82" s="213">
        <v>33.31</v>
      </c>
      <c r="H82" s="214">
        <v>8.7828838942417562</v>
      </c>
      <c r="J82" s="1"/>
      <c r="K82" s="1"/>
      <c r="L82" s="1"/>
      <c r="M82" s="1"/>
      <c r="N82" s="1"/>
      <c r="O82" s="1"/>
      <c r="P82" s="1"/>
      <c r="Q82" s="1"/>
      <c r="R82" s="1"/>
      <c r="S82" s="1"/>
    </row>
    <row r="83" spans="1:19" hidden="1">
      <c r="A83" s="226">
        <v>42156</v>
      </c>
      <c r="B83" s="213">
        <v>3</v>
      </c>
      <c r="C83" s="213">
        <v>4.42</v>
      </c>
      <c r="D83" s="213">
        <v>3.8018588872186454</v>
      </c>
      <c r="E83" s="213">
        <v>5.0082101806239621</v>
      </c>
      <c r="F83" s="215">
        <v>2585.11</v>
      </c>
      <c r="G83" s="213">
        <v>37.42</v>
      </c>
      <c r="H83" s="214">
        <v>14.518999456971549</v>
      </c>
      <c r="J83" s="1"/>
      <c r="K83" s="1"/>
      <c r="L83" s="1"/>
      <c r="M83" s="1"/>
      <c r="N83" s="1"/>
      <c r="O83" s="1"/>
      <c r="P83" s="1"/>
      <c r="Q83" s="1"/>
      <c r="R83" s="1"/>
      <c r="S83" s="1"/>
    </row>
    <row r="84" spans="1:19" hidden="1">
      <c r="A84" s="226">
        <v>42186</v>
      </c>
      <c r="B84" s="213">
        <v>3</v>
      </c>
      <c r="C84" s="213">
        <v>4.46</v>
      </c>
      <c r="D84" s="213">
        <v>4.0353142685855214</v>
      </c>
      <c r="E84" s="213">
        <v>6.4390043200987401</v>
      </c>
      <c r="F84" s="215">
        <v>2866.04</v>
      </c>
      <c r="G84" s="213">
        <v>53.07</v>
      </c>
      <c r="H84" s="214">
        <v>21.581713183406382</v>
      </c>
      <c r="J84" s="1"/>
      <c r="K84" s="1"/>
      <c r="L84" s="1"/>
      <c r="M84" s="1"/>
      <c r="N84" s="1"/>
      <c r="O84" s="1"/>
      <c r="P84" s="1"/>
      <c r="Q84" s="1"/>
      <c r="R84" s="1"/>
      <c r="S84" s="1"/>
    </row>
    <row r="85" spans="1:19" hidden="1">
      <c r="A85" s="226">
        <v>42217</v>
      </c>
      <c r="B85" s="213">
        <v>3</v>
      </c>
      <c r="C85" s="213">
        <v>4.74</v>
      </c>
      <c r="D85" s="213">
        <v>4.2311103829803631</v>
      </c>
      <c r="E85" s="213">
        <v>8.0498518745530703</v>
      </c>
      <c r="F85" s="215">
        <v>3101.1</v>
      </c>
      <c r="G85" s="213">
        <v>61.63</v>
      </c>
      <c r="H85" s="214">
        <v>28.387768340656216</v>
      </c>
      <c r="J85" s="1"/>
      <c r="K85" s="1"/>
      <c r="L85" s="1"/>
      <c r="M85" s="1"/>
      <c r="N85" s="1"/>
      <c r="O85" s="1"/>
      <c r="P85" s="1"/>
      <c r="Q85" s="1"/>
      <c r="R85" s="1"/>
      <c r="S85" s="1"/>
    </row>
    <row r="86" spans="1:19" hidden="1">
      <c r="A86" s="226">
        <v>42248</v>
      </c>
      <c r="B86" s="213">
        <v>3</v>
      </c>
      <c r="C86" s="213">
        <v>5.35</v>
      </c>
      <c r="D86" s="213">
        <v>4.5971835925990412</v>
      </c>
      <c r="E86" s="213">
        <v>8.6991869918699116</v>
      </c>
      <c r="F86" s="215">
        <v>3121.94</v>
      </c>
      <c r="G86" s="213">
        <v>53.91</v>
      </c>
      <c r="H86" s="214">
        <v>25.234008951530051</v>
      </c>
      <c r="J86" s="1"/>
      <c r="K86" s="1"/>
      <c r="L86" s="1"/>
      <c r="M86" s="1"/>
      <c r="N86" s="1"/>
      <c r="O86" s="1"/>
      <c r="P86" s="1"/>
      <c r="Q86" s="1"/>
      <c r="R86" s="1"/>
      <c r="S86" s="1"/>
    </row>
    <row r="87" spans="1:19" hidden="1">
      <c r="A87" s="226">
        <v>42278</v>
      </c>
      <c r="B87" s="213">
        <v>3</v>
      </c>
      <c r="C87" s="213">
        <v>5.89</v>
      </c>
      <c r="D87" s="213">
        <v>4.8049692283510748</v>
      </c>
      <c r="E87" s="213">
        <v>8.195062727640634</v>
      </c>
      <c r="F87" s="215">
        <v>2897.83</v>
      </c>
      <c r="G87" s="213">
        <v>41.32</v>
      </c>
      <c r="H87" s="214">
        <v>17.828574398720743</v>
      </c>
      <c r="J87" s="1"/>
      <c r="K87" s="1"/>
      <c r="L87" s="1"/>
      <c r="M87" s="1"/>
      <c r="N87" s="1"/>
      <c r="O87" s="1"/>
      <c r="P87" s="1"/>
      <c r="Q87" s="1"/>
      <c r="R87" s="1"/>
      <c r="S87" s="1"/>
    </row>
    <row r="88" spans="1:19" hidden="1">
      <c r="A88" s="226">
        <v>42309</v>
      </c>
      <c r="B88" s="213">
        <v>3</v>
      </c>
      <c r="C88" s="213">
        <v>6.39</v>
      </c>
      <c r="D88" s="213">
        <v>5.1152454686359539</v>
      </c>
      <c r="E88" s="213">
        <v>8.9408667476711159</v>
      </c>
      <c r="F88" s="215">
        <v>3101.1</v>
      </c>
      <c r="G88" s="213">
        <v>40.56</v>
      </c>
      <c r="H88" s="214">
        <v>14.740471114206844</v>
      </c>
      <c r="J88" s="1"/>
      <c r="K88" s="1"/>
      <c r="L88" s="1"/>
      <c r="M88" s="1"/>
      <c r="N88" s="1"/>
      <c r="O88" s="1"/>
      <c r="P88" s="1"/>
      <c r="Q88" s="1"/>
      <c r="R88" s="1"/>
      <c r="S88" s="1"/>
    </row>
    <row r="89" spans="1:19" hidden="1">
      <c r="A89" s="226">
        <v>42339</v>
      </c>
      <c r="B89" s="213">
        <v>3</v>
      </c>
      <c r="C89" s="213">
        <v>6.77</v>
      </c>
      <c r="D89" s="213">
        <v>5.2518674261124998</v>
      </c>
      <c r="E89" s="213">
        <v>9.5699999999999896</v>
      </c>
      <c r="F89" s="215">
        <v>3149.47</v>
      </c>
      <c r="G89" s="213">
        <v>31.64</v>
      </c>
      <c r="H89" s="214">
        <v>13.709776497626747</v>
      </c>
      <c r="J89" s="1"/>
      <c r="K89" s="1"/>
      <c r="L89" s="1"/>
      <c r="M89" s="1"/>
      <c r="N89" s="1"/>
      <c r="O89" s="1"/>
      <c r="P89" s="1"/>
      <c r="Q89" s="1"/>
      <c r="R89" s="1"/>
      <c r="S89" s="1"/>
    </row>
    <row r="90" spans="1:19" hidden="1">
      <c r="A90" s="226">
        <v>42370</v>
      </c>
      <c r="B90" s="213">
        <v>3</v>
      </c>
      <c r="C90" s="213">
        <v>7.45</v>
      </c>
      <c r="D90" s="213">
        <v>5.6768004791004856</v>
      </c>
      <c r="E90" s="213">
        <v>9.9999999999999858</v>
      </c>
      <c r="F90" s="215">
        <v>3287.31</v>
      </c>
      <c r="G90" s="213">
        <v>34.67</v>
      </c>
      <c r="H90" s="214">
        <v>13.361902862705977</v>
      </c>
      <c r="J90" s="1"/>
      <c r="K90" s="1"/>
      <c r="L90" s="1"/>
      <c r="M90" s="1"/>
      <c r="N90" s="1"/>
      <c r="O90" s="1"/>
      <c r="P90" s="1"/>
      <c r="Q90" s="1"/>
      <c r="R90" s="1"/>
      <c r="S90" s="1"/>
    </row>
    <row r="91" spans="1:19" hidden="1">
      <c r="A91" s="226">
        <v>42401</v>
      </c>
      <c r="B91" s="213">
        <v>3</v>
      </c>
      <c r="C91" s="213">
        <v>7.59</v>
      </c>
      <c r="D91" s="213">
        <v>6.0134200811818417</v>
      </c>
      <c r="E91" s="213">
        <v>11.01</v>
      </c>
      <c r="F91" s="215">
        <v>3306</v>
      </c>
      <c r="G91" s="213">
        <v>32.4</v>
      </c>
      <c r="H91" s="214">
        <v>17.412336684199548</v>
      </c>
      <c r="J91" s="1"/>
      <c r="K91" s="1"/>
      <c r="L91" s="1"/>
      <c r="M91" s="1"/>
      <c r="N91" s="1"/>
      <c r="O91" s="1"/>
      <c r="P91" s="1"/>
      <c r="Q91" s="1"/>
      <c r="R91" s="1"/>
      <c r="S91" s="1"/>
    </row>
    <row r="92" spans="1:19" hidden="1">
      <c r="A92" s="226">
        <v>42430</v>
      </c>
      <c r="B92" s="213">
        <v>3</v>
      </c>
      <c r="C92" s="213">
        <v>7.98</v>
      </c>
      <c r="D92" s="213">
        <v>6.3493905718384092</v>
      </c>
      <c r="E92" s="213">
        <v>8.56</v>
      </c>
      <c r="F92" s="215">
        <v>3022.35</v>
      </c>
      <c r="G92" s="213">
        <v>17.32</v>
      </c>
      <c r="H92" s="214">
        <v>8.9206990080528783</v>
      </c>
      <c r="J92" s="1"/>
      <c r="K92" s="1"/>
      <c r="L92" s="1"/>
      <c r="M92" s="1"/>
      <c r="N92" s="1"/>
      <c r="O92" s="1"/>
      <c r="P92" s="1"/>
      <c r="Q92" s="1"/>
      <c r="R92" s="1"/>
      <c r="S92" s="1"/>
    </row>
    <row r="93" spans="1:19" hidden="1">
      <c r="A93" s="226">
        <v>42461</v>
      </c>
      <c r="B93" s="213">
        <v>3</v>
      </c>
      <c r="C93" s="213">
        <v>7.93</v>
      </c>
      <c r="D93" s="213">
        <v>6.1838808329924388</v>
      </c>
      <c r="E93" s="213">
        <v>8.58</v>
      </c>
      <c r="F93" s="215">
        <v>2851.14</v>
      </c>
      <c r="G93" s="213">
        <v>19.39</v>
      </c>
      <c r="H93" s="214">
        <v>7.7018812392126712</v>
      </c>
      <c r="J93" s="1"/>
      <c r="K93" s="1"/>
      <c r="L93" s="1"/>
      <c r="M93" s="1"/>
      <c r="N93" s="1"/>
      <c r="O93" s="1"/>
      <c r="P93" s="1"/>
      <c r="Q93" s="1"/>
      <c r="R93" s="1"/>
      <c r="S93" s="1"/>
    </row>
    <row r="94" spans="1:19" hidden="1">
      <c r="A94" s="226">
        <v>42491</v>
      </c>
      <c r="B94" s="213">
        <v>3</v>
      </c>
      <c r="C94" s="213">
        <v>8.1999999999999993</v>
      </c>
      <c r="D94" s="213">
        <v>6.2709463344143623</v>
      </c>
      <c r="E94" s="213">
        <v>9.9600000000000009</v>
      </c>
      <c r="F94" s="215">
        <v>3069.17</v>
      </c>
      <c r="G94" s="213">
        <v>21.13</v>
      </c>
      <c r="H94" s="214">
        <v>7.1070342244774043</v>
      </c>
      <c r="J94" s="1"/>
      <c r="K94" s="1"/>
      <c r="L94" s="1"/>
      <c r="M94" s="1"/>
      <c r="N94" s="1"/>
      <c r="O94" s="1"/>
      <c r="P94" s="1"/>
      <c r="Q94" s="1"/>
      <c r="R94" s="1"/>
      <c r="S94" s="1"/>
    </row>
    <row r="95" spans="1:19" hidden="1">
      <c r="A95" s="226">
        <v>42522</v>
      </c>
      <c r="B95" s="213">
        <v>3</v>
      </c>
      <c r="C95" s="213">
        <v>8.6</v>
      </c>
      <c r="D95" s="213">
        <v>6.5126113141577457</v>
      </c>
      <c r="E95" s="213">
        <v>9.64</v>
      </c>
      <c r="F95" s="215">
        <v>2916.15</v>
      </c>
      <c r="G95" s="213">
        <v>12.81</v>
      </c>
      <c r="H95" s="214">
        <v>2.6651607038458369</v>
      </c>
      <c r="J95" s="1"/>
      <c r="K95" s="1"/>
      <c r="L95" s="1"/>
      <c r="M95" s="1"/>
      <c r="N95" s="1"/>
      <c r="O95" s="1"/>
      <c r="P95" s="1"/>
      <c r="Q95" s="1"/>
      <c r="R95" s="1"/>
      <c r="S95" s="1"/>
    </row>
    <row r="96" spans="1:19" hidden="1">
      <c r="A96" s="226">
        <v>42552</v>
      </c>
      <c r="B96" s="213">
        <v>3</v>
      </c>
      <c r="C96" s="213">
        <v>8.9700000000000006</v>
      </c>
      <c r="D96" s="213">
        <v>6.5058338905913837</v>
      </c>
      <c r="E96" s="213">
        <v>8.3800000000000008</v>
      </c>
      <c r="F96" s="215">
        <v>3081.75</v>
      </c>
      <c r="G96" s="213">
        <v>7.53</v>
      </c>
      <c r="H96" s="214">
        <v>-2.7245634657306117</v>
      </c>
      <c r="J96" s="1"/>
      <c r="K96" s="1"/>
      <c r="L96" s="1"/>
      <c r="M96" s="1"/>
      <c r="N96" s="1"/>
      <c r="O96" s="1"/>
      <c r="P96" s="1"/>
      <c r="Q96" s="1"/>
      <c r="R96" s="1"/>
      <c r="S96" s="1"/>
    </row>
    <row r="97" spans="1:19" hidden="1">
      <c r="A97" s="226">
        <v>42583</v>
      </c>
      <c r="B97" s="213">
        <v>3</v>
      </c>
      <c r="C97" s="213">
        <v>8.1</v>
      </c>
      <c r="D97" s="213">
        <v>6.4193103459781131</v>
      </c>
      <c r="E97" s="213">
        <v>4.8899999999999997</v>
      </c>
      <c r="F97" s="215">
        <v>2933.82</v>
      </c>
      <c r="G97" s="213">
        <v>-5.39</v>
      </c>
      <c r="H97" s="214">
        <v>-7.2220676306564808</v>
      </c>
      <c r="J97" s="1"/>
      <c r="K97" s="1"/>
      <c r="L97" s="1"/>
      <c r="M97" s="1"/>
      <c r="N97" s="1"/>
      <c r="O97" s="1"/>
      <c r="P97" s="1"/>
      <c r="Q97" s="1"/>
      <c r="R97" s="1"/>
      <c r="S97" s="1"/>
    </row>
    <row r="98" spans="1:19" hidden="1">
      <c r="A98" s="226">
        <v>42614</v>
      </c>
      <c r="B98" s="213">
        <v>3</v>
      </c>
      <c r="C98" s="213">
        <v>7.27</v>
      </c>
      <c r="D98" s="213">
        <v>6.2788216864979374</v>
      </c>
      <c r="E98" s="213">
        <v>3.3844427823485512</v>
      </c>
      <c r="F98" s="215">
        <v>2879.95</v>
      </c>
      <c r="G98" s="213">
        <v>-7.75</v>
      </c>
      <c r="H98" s="214">
        <v>-8.1649031987052538</v>
      </c>
      <c r="J98" s="1"/>
      <c r="K98" s="1"/>
      <c r="L98" s="1"/>
      <c r="M98" s="1"/>
      <c r="N98" s="1"/>
      <c r="O98" s="1"/>
      <c r="P98" s="1"/>
      <c r="Q98" s="1"/>
      <c r="R98" s="1"/>
      <c r="S98" s="1"/>
    </row>
    <row r="99" spans="1:19" hidden="1">
      <c r="A99" s="226">
        <v>42644</v>
      </c>
      <c r="B99" s="213">
        <v>3</v>
      </c>
      <c r="C99" s="213">
        <v>6.48</v>
      </c>
      <c r="D99" s="213">
        <v>5.9746358624290341</v>
      </c>
      <c r="E99" s="213">
        <v>3.48</v>
      </c>
      <c r="F99" s="215">
        <v>2967.66</v>
      </c>
      <c r="G99" s="213">
        <v>2.41</v>
      </c>
      <c r="H99" s="214">
        <v>-3.8230031154583011</v>
      </c>
      <c r="J99" s="1"/>
      <c r="K99" s="1"/>
      <c r="L99" s="1"/>
      <c r="M99" s="1"/>
      <c r="N99" s="1"/>
      <c r="O99" s="1"/>
      <c r="P99" s="1"/>
      <c r="Q99" s="1"/>
      <c r="R99" s="1"/>
      <c r="S99" s="1"/>
    </row>
    <row r="100" spans="1:19" hidden="1">
      <c r="A100" s="226">
        <v>42675</v>
      </c>
      <c r="B100" s="213">
        <v>3</v>
      </c>
      <c r="C100" s="213">
        <v>5.96</v>
      </c>
      <c r="D100" s="213">
        <v>5.6493990820348783</v>
      </c>
      <c r="E100" s="213">
        <v>3.91</v>
      </c>
      <c r="F100" s="215">
        <v>3165.09</v>
      </c>
      <c r="G100" s="213">
        <v>2.06</v>
      </c>
      <c r="H100" s="214">
        <v>-0.18402036751470341</v>
      </c>
      <c r="J100" s="1"/>
      <c r="K100" s="1"/>
      <c r="L100" s="1"/>
      <c r="M100" s="1"/>
      <c r="N100" s="1"/>
      <c r="O100" s="1"/>
      <c r="P100" s="1"/>
      <c r="Q100" s="1"/>
      <c r="R100" s="1"/>
      <c r="S100" s="1"/>
    </row>
    <row r="101" spans="1:19" hidden="1">
      <c r="A101" s="226">
        <v>42705</v>
      </c>
      <c r="B101" s="213">
        <v>3</v>
      </c>
      <c r="C101" s="213">
        <v>5.75</v>
      </c>
      <c r="D101" s="213">
        <v>5.5131207494701684</v>
      </c>
      <c r="E101" s="213">
        <v>1.62</v>
      </c>
      <c r="F101" s="215">
        <v>3000.71</v>
      </c>
      <c r="G101" s="213">
        <v>-4.72</v>
      </c>
      <c r="H101" s="214">
        <v>-7.4375722463916549</v>
      </c>
      <c r="J101" s="1"/>
      <c r="K101" s="1"/>
      <c r="L101" s="1"/>
      <c r="M101" s="1"/>
      <c r="N101" s="1"/>
      <c r="O101" s="1"/>
      <c r="P101" s="1"/>
      <c r="Q101" s="1"/>
      <c r="R101" s="1"/>
      <c r="S101" s="1"/>
    </row>
    <row r="102" spans="1:19" hidden="1">
      <c r="A102" s="226">
        <v>42736</v>
      </c>
      <c r="B102" s="213">
        <v>3</v>
      </c>
      <c r="C102" s="213">
        <v>5.47</v>
      </c>
      <c r="D102" s="213">
        <v>5.7028647815510869</v>
      </c>
      <c r="E102" s="213">
        <v>0.88</v>
      </c>
      <c r="F102" s="215">
        <v>2936.66</v>
      </c>
      <c r="G102" s="213">
        <v>-10.67</v>
      </c>
      <c r="H102" s="214">
        <v>-7.4843824393500906</v>
      </c>
      <c r="J102" s="1"/>
      <c r="K102" s="1"/>
      <c r="L102" s="1"/>
      <c r="M102" s="1"/>
      <c r="N102" s="1"/>
      <c r="O102" s="1"/>
      <c r="P102" s="1"/>
      <c r="Q102" s="1"/>
      <c r="R102" s="1"/>
      <c r="S102" s="1"/>
    </row>
    <row r="103" spans="1:19" hidden="1">
      <c r="A103" s="226">
        <v>42767</v>
      </c>
      <c r="B103" s="213">
        <v>3</v>
      </c>
      <c r="C103" s="213">
        <v>5.18</v>
      </c>
      <c r="D103" s="213">
        <v>5.6326822783246744</v>
      </c>
      <c r="E103" s="213">
        <v>-0.17</v>
      </c>
      <c r="F103" s="215">
        <v>2896.27</v>
      </c>
      <c r="G103" s="213">
        <v>-12.39</v>
      </c>
      <c r="H103" s="214">
        <v>-9.5666529803634663</v>
      </c>
      <c r="J103" s="1"/>
      <c r="K103" s="1"/>
      <c r="L103" s="1"/>
      <c r="M103" s="1"/>
      <c r="N103" s="1"/>
      <c r="O103" s="1"/>
      <c r="P103" s="1"/>
      <c r="Q103" s="1"/>
      <c r="R103" s="1"/>
      <c r="S103" s="1"/>
    </row>
    <row r="104" spans="1:19" hidden="1">
      <c r="A104" s="226">
        <v>42795</v>
      </c>
      <c r="B104" s="213">
        <v>3</v>
      </c>
      <c r="C104" s="213">
        <v>4.6900000000000004</v>
      </c>
      <c r="D104" s="213">
        <v>5.5546226920740072</v>
      </c>
      <c r="E104" s="213">
        <v>0.55000000000000004</v>
      </c>
      <c r="F104" s="215">
        <v>2880.24</v>
      </c>
      <c r="G104" s="213">
        <v>-4.7</v>
      </c>
      <c r="H104" s="214">
        <v>-3.3352031446951313</v>
      </c>
      <c r="J104" s="1"/>
      <c r="K104" s="1"/>
      <c r="L104" s="1"/>
      <c r="M104" s="1"/>
      <c r="N104" s="1"/>
      <c r="O104" s="1"/>
      <c r="P104" s="1"/>
      <c r="Q104" s="1"/>
      <c r="R104" s="1"/>
      <c r="S104" s="1"/>
    </row>
    <row r="105" spans="1:19" hidden="1">
      <c r="A105" s="226">
        <v>42826</v>
      </c>
      <c r="B105" s="213">
        <v>3</v>
      </c>
      <c r="C105" s="213">
        <v>4.66</v>
      </c>
      <c r="D105" s="213">
        <v>5.8802708824705618</v>
      </c>
      <c r="E105" s="213">
        <v>0.39</v>
      </c>
      <c r="F105" s="215">
        <v>2947.85</v>
      </c>
      <c r="G105" s="213">
        <v>3.39</v>
      </c>
      <c r="H105" s="214">
        <v>-1.2394514807019585</v>
      </c>
      <c r="J105" s="1"/>
      <c r="K105" s="1"/>
      <c r="L105" s="1"/>
      <c r="M105" s="1"/>
      <c r="N105" s="1"/>
      <c r="O105" s="1"/>
      <c r="P105" s="1"/>
      <c r="Q105" s="1"/>
      <c r="R105" s="1"/>
      <c r="S105" s="1"/>
    </row>
    <row r="106" spans="1:19" hidden="1">
      <c r="A106" s="226">
        <v>42856</v>
      </c>
      <c r="B106" s="213">
        <v>3</v>
      </c>
      <c r="C106" s="213">
        <v>4.37</v>
      </c>
      <c r="D106" s="213">
        <v>5.6240886168834159</v>
      </c>
      <c r="E106" s="213">
        <v>-0.16</v>
      </c>
      <c r="F106" s="215">
        <v>2920.42</v>
      </c>
      <c r="G106" s="213">
        <v>-4.8499999999999996</v>
      </c>
      <c r="H106" s="214">
        <v>1.3304844010003647</v>
      </c>
      <c r="J106" s="1"/>
      <c r="K106" s="1"/>
      <c r="L106" s="1"/>
      <c r="M106" s="1"/>
      <c r="N106" s="1"/>
      <c r="O106" s="1"/>
      <c r="P106" s="1"/>
      <c r="Q106" s="1"/>
      <c r="R106" s="1"/>
      <c r="S106" s="1"/>
    </row>
    <row r="107" spans="1:19" hidden="1">
      <c r="A107" s="226">
        <v>42887</v>
      </c>
      <c r="B107" s="213">
        <v>3</v>
      </c>
      <c r="C107" s="213">
        <v>3.99</v>
      </c>
      <c r="D107" s="213">
        <v>5.4013247452072255</v>
      </c>
      <c r="E107" s="213">
        <v>-0.83</v>
      </c>
      <c r="F107" s="215">
        <v>3038.26</v>
      </c>
      <c r="G107" s="213">
        <v>4.1900000000000004</v>
      </c>
      <c r="H107" s="214">
        <v>2.4178605674992415</v>
      </c>
      <c r="J107" s="1"/>
      <c r="K107" s="1"/>
      <c r="L107" s="1"/>
      <c r="M107" s="1"/>
      <c r="N107" s="1"/>
      <c r="O107" s="1"/>
      <c r="P107" s="1"/>
      <c r="Q107" s="1"/>
      <c r="R107" s="1"/>
      <c r="S107" s="1"/>
    </row>
    <row r="108" spans="1:19" hidden="1">
      <c r="A108" s="226">
        <v>42917</v>
      </c>
      <c r="B108" s="213">
        <v>3</v>
      </c>
      <c r="C108" s="213">
        <v>3.4</v>
      </c>
      <c r="D108" s="213">
        <v>5.0517345536767788</v>
      </c>
      <c r="E108" s="213">
        <v>-0.3</v>
      </c>
      <c r="F108" s="215">
        <v>2995.23</v>
      </c>
      <c r="G108" s="213">
        <v>-2.81</v>
      </c>
      <c r="H108" s="214">
        <v>6.2031422284100524</v>
      </c>
      <c r="J108" s="1"/>
      <c r="K108" s="1"/>
      <c r="L108" s="1"/>
      <c r="M108" s="1"/>
      <c r="N108" s="1"/>
      <c r="O108" s="1"/>
      <c r="P108" s="1"/>
      <c r="Q108" s="1"/>
      <c r="R108" s="1"/>
      <c r="S108" s="1"/>
    </row>
    <row r="109" spans="1:19" hidden="1">
      <c r="A109" s="226">
        <v>42948</v>
      </c>
      <c r="B109" s="213">
        <v>3</v>
      </c>
      <c r="C109" s="213">
        <v>3.87</v>
      </c>
      <c r="D109" s="213">
        <v>4.9786416732077621</v>
      </c>
      <c r="E109" s="213">
        <v>0.95</v>
      </c>
      <c r="F109" s="215">
        <v>2937.09</v>
      </c>
      <c r="G109" s="213">
        <v>0.11</v>
      </c>
      <c r="H109" s="214">
        <v>3.2153101630309822</v>
      </c>
      <c r="J109" s="1"/>
      <c r="K109" s="1"/>
      <c r="L109" s="1"/>
      <c r="M109" s="1"/>
      <c r="N109" s="1"/>
      <c r="O109" s="1"/>
      <c r="P109" s="1"/>
      <c r="Q109" s="1"/>
      <c r="R109" s="1"/>
      <c r="S109" s="1"/>
    </row>
    <row r="110" spans="1:19" hidden="1">
      <c r="A110" s="226">
        <v>42979</v>
      </c>
      <c r="B110" s="213">
        <v>3</v>
      </c>
      <c r="C110" s="213">
        <v>3.97</v>
      </c>
      <c r="D110" s="213">
        <v>4.8601981133434835</v>
      </c>
      <c r="E110" s="213">
        <v>1.17</v>
      </c>
      <c r="F110" s="215">
        <v>2936.67</v>
      </c>
      <c r="G110" s="213">
        <v>1.97</v>
      </c>
      <c r="H110" s="214">
        <v>3.8680817018522218</v>
      </c>
      <c r="J110" s="1"/>
      <c r="K110" s="1"/>
      <c r="L110" s="1"/>
      <c r="M110" s="1"/>
      <c r="N110" s="1"/>
      <c r="O110" s="1"/>
      <c r="P110" s="1"/>
      <c r="Q110" s="1"/>
      <c r="R110" s="1"/>
      <c r="S110" s="1"/>
    </row>
    <row r="111" spans="1:19" hidden="1">
      <c r="A111" s="226">
        <v>43009</v>
      </c>
      <c r="B111" s="213">
        <v>3</v>
      </c>
      <c r="C111" s="213">
        <v>4.05</v>
      </c>
      <c r="D111" s="213">
        <v>4.8213990610075586</v>
      </c>
      <c r="E111" s="213">
        <v>1.38</v>
      </c>
      <c r="F111" s="215">
        <v>3011.44</v>
      </c>
      <c r="G111" s="213">
        <v>1.48</v>
      </c>
      <c r="H111" s="214">
        <v>4.1286695463334633</v>
      </c>
      <c r="J111" s="1"/>
      <c r="K111" s="1"/>
      <c r="L111" s="1"/>
      <c r="M111" s="1"/>
      <c r="N111" s="1"/>
      <c r="O111" s="1"/>
      <c r="P111" s="1"/>
      <c r="Q111" s="1"/>
      <c r="R111" s="1"/>
      <c r="S111" s="1"/>
    </row>
    <row r="112" spans="1:19" hidden="1">
      <c r="A112" s="226">
        <v>43040</v>
      </c>
      <c r="B112" s="213">
        <v>3</v>
      </c>
      <c r="C112" s="213">
        <v>4.12</v>
      </c>
      <c r="D112" s="213">
        <v>4.9053102070892418</v>
      </c>
      <c r="E112" s="213">
        <v>1.31</v>
      </c>
      <c r="F112" s="215">
        <v>3006.09</v>
      </c>
      <c r="G112" s="213">
        <v>-5.0199999999999996</v>
      </c>
      <c r="H112" s="214">
        <v>2.1988413896666836</v>
      </c>
      <c r="J112" s="1"/>
      <c r="K112" s="1"/>
      <c r="L112" s="1"/>
      <c r="M112" s="1"/>
      <c r="N112" s="1"/>
      <c r="O112" s="1"/>
      <c r="P112" s="1"/>
      <c r="Q112" s="1"/>
      <c r="R112" s="1"/>
      <c r="S112" s="1"/>
    </row>
    <row r="113" spans="1:19" hidden="1">
      <c r="A113" s="226">
        <v>43070</v>
      </c>
      <c r="B113" s="213">
        <v>3</v>
      </c>
      <c r="C113" s="213">
        <v>4.09</v>
      </c>
      <c r="D113" s="213">
        <v>5.0304591297459789</v>
      </c>
      <c r="E113" s="213">
        <v>1.85</v>
      </c>
      <c r="F113" s="218">
        <v>2984</v>
      </c>
      <c r="G113" s="219">
        <v>-0.56000000000000005</v>
      </c>
      <c r="H113" s="214">
        <v>4.7138095724830853</v>
      </c>
      <c r="J113" s="1"/>
      <c r="K113" s="1"/>
      <c r="L113" s="1"/>
      <c r="M113" s="1"/>
      <c r="N113" s="1"/>
      <c r="O113" s="1"/>
      <c r="P113" s="1"/>
      <c r="Q113" s="1"/>
      <c r="R113" s="1"/>
      <c r="S113" s="1"/>
    </row>
    <row r="114" spans="1:19" hidden="1">
      <c r="A114" s="226">
        <v>43101</v>
      </c>
      <c r="B114" s="213">
        <v>3</v>
      </c>
      <c r="C114" s="213">
        <v>3.68</v>
      </c>
      <c r="D114" s="213">
        <v>4.5464526873925548</v>
      </c>
      <c r="E114" s="213">
        <v>1.41</v>
      </c>
      <c r="F114" s="218">
        <v>2844.14</v>
      </c>
      <c r="G114" s="219">
        <v>-3.15</v>
      </c>
      <c r="H114" s="214">
        <v>3.9253554357249199</v>
      </c>
      <c r="J114" s="1"/>
      <c r="K114" s="1"/>
      <c r="L114" s="1"/>
      <c r="M114" s="1"/>
      <c r="N114" s="1"/>
      <c r="O114" s="1"/>
      <c r="P114" s="1"/>
      <c r="Q114" s="1"/>
      <c r="R114" s="1"/>
      <c r="S114" s="1"/>
    </row>
    <row r="115" spans="1:19" hidden="1">
      <c r="A115" s="226">
        <v>43132</v>
      </c>
      <c r="B115" s="213">
        <v>3</v>
      </c>
      <c r="C115" s="213">
        <v>3.37</v>
      </c>
      <c r="D115" s="213">
        <v>4.2997226110393472</v>
      </c>
      <c r="E115" s="213">
        <v>1.86</v>
      </c>
      <c r="F115" s="218">
        <v>2855.93</v>
      </c>
      <c r="G115" s="219">
        <v>-1.39</v>
      </c>
      <c r="H115" s="214">
        <v>1.9814915611515271</v>
      </c>
      <c r="J115" s="1"/>
      <c r="K115" s="1"/>
      <c r="L115" s="1"/>
      <c r="M115" s="1"/>
      <c r="N115" s="1"/>
      <c r="O115" s="1"/>
      <c r="P115" s="1"/>
      <c r="Q115" s="1"/>
      <c r="R115" s="1"/>
      <c r="S115" s="1"/>
    </row>
    <row r="116" spans="1:19" hidden="1">
      <c r="A116" s="226">
        <v>43160</v>
      </c>
      <c r="B116" s="213">
        <v>3</v>
      </c>
      <c r="C116" s="213">
        <v>3.14</v>
      </c>
      <c r="D116" s="213">
        <v>3.9670058133348229</v>
      </c>
      <c r="E116" s="213">
        <v>1.65</v>
      </c>
      <c r="F116" s="218">
        <v>2780.47</v>
      </c>
      <c r="G116" s="219">
        <v>-3.46</v>
      </c>
      <c r="H116" s="214">
        <v>-0.78342591151993046</v>
      </c>
      <c r="J116" s="1"/>
      <c r="K116" s="1"/>
      <c r="L116" s="1"/>
      <c r="M116" s="1"/>
      <c r="N116" s="1"/>
      <c r="O116" s="1"/>
      <c r="P116" s="1"/>
      <c r="Q116" s="1"/>
      <c r="R116" s="1"/>
      <c r="S116" s="1"/>
    </row>
    <row r="117" spans="1:19" hidden="1">
      <c r="A117" s="226">
        <v>43191</v>
      </c>
      <c r="B117" s="213">
        <v>3</v>
      </c>
      <c r="C117" s="213">
        <v>3.13</v>
      </c>
      <c r="D117" s="213">
        <v>3.7581956571943964</v>
      </c>
      <c r="E117" s="213">
        <v>1.92</v>
      </c>
      <c r="F117" s="218">
        <v>2806.28</v>
      </c>
      <c r="G117" s="219">
        <v>-4.8</v>
      </c>
      <c r="H117" s="214">
        <v>-2.0884370836388499</v>
      </c>
      <c r="J117" s="1"/>
      <c r="K117" s="1"/>
      <c r="L117" s="1"/>
      <c r="M117" s="1"/>
      <c r="N117" s="1"/>
      <c r="O117" s="1"/>
      <c r="P117" s="1"/>
      <c r="Q117" s="1"/>
      <c r="R117" s="1"/>
      <c r="S117" s="1"/>
    </row>
    <row r="118" spans="1:19" hidden="1">
      <c r="A118" s="226">
        <v>43221</v>
      </c>
      <c r="B118" s="213">
        <v>3</v>
      </c>
      <c r="C118" s="213">
        <v>3.16</v>
      </c>
      <c r="D118" s="213">
        <v>3.768293870310746</v>
      </c>
      <c r="E118" s="213">
        <v>2.81</v>
      </c>
      <c r="F118" s="218">
        <v>2879.32</v>
      </c>
      <c r="G118" s="219">
        <v>-1.41</v>
      </c>
      <c r="H118" s="214">
        <v>-1.9009357761301526</v>
      </c>
      <c r="J118" s="1"/>
      <c r="K118" s="1"/>
      <c r="L118" s="1"/>
      <c r="M118" s="1"/>
      <c r="N118" s="1"/>
      <c r="O118" s="1"/>
      <c r="P118" s="1"/>
      <c r="Q118" s="1"/>
      <c r="R118" s="1"/>
      <c r="S118" s="1"/>
    </row>
    <row r="119" spans="1:19" hidden="1">
      <c r="A119" s="226">
        <v>43252</v>
      </c>
      <c r="B119" s="213">
        <v>3</v>
      </c>
      <c r="C119" s="213">
        <v>3.2</v>
      </c>
      <c r="D119" s="213">
        <v>3.7305833489211349</v>
      </c>
      <c r="E119" s="213">
        <v>3.08</v>
      </c>
      <c r="F119" s="218">
        <v>2930.8</v>
      </c>
      <c r="G119" s="219">
        <v>-3.54</v>
      </c>
      <c r="H119" s="214">
        <v>-1.9420803053100344</v>
      </c>
      <c r="J119" s="1"/>
      <c r="K119" s="1"/>
      <c r="L119" s="1"/>
      <c r="M119" s="1"/>
      <c r="N119" s="1"/>
      <c r="O119" s="1"/>
      <c r="P119" s="1"/>
      <c r="Q119" s="1"/>
      <c r="R119" s="1"/>
      <c r="S119" s="1"/>
    </row>
    <row r="120" spans="1:19" hidden="1">
      <c r="A120" s="226">
        <v>43282</v>
      </c>
      <c r="B120" s="213">
        <v>3</v>
      </c>
      <c r="C120" s="213">
        <v>3.12</v>
      </c>
      <c r="D120" s="213">
        <v>3.8398305393040344</v>
      </c>
      <c r="E120" s="213">
        <v>2.4500000000000002</v>
      </c>
      <c r="F120" s="218">
        <v>2875.72</v>
      </c>
      <c r="G120" s="219">
        <v>-3.99</v>
      </c>
      <c r="H120" s="214">
        <v>-4.9023926707163596</v>
      </c>
      <c r="J120" s="1"/>
      <c r="K120" s="1"/>
      <c r="L120" s="1"/>
      <c r="M120" s="1"/>
      <c r="N120" s="1"/>
      <c r="O120" s="1"/>
      <c r="P120" s="1"/>
      <c r="Q120" s="1"/>
      <c r="R120" s="1"/>
      <c r="S120" s="1"/>
    </row>
    <row r="121" spans="1:19" hidden="1">
      <c r="A121" s="226">
        <v>43313</v>
      </c>
      <c r="B121" s="213">
        <v>3</v>
      </c>
      <c r="C121" s="213">
        <v>3.1</v>
      </c>
      <c r="D121" s="213">
        <v>3.787822054985468</v>
      </c>
      <c r="E121" s="213">
        <v>2.4500000000000002</v>
      </c>
      <c r="F121" s="215">
        <v>3027.39</v>
      </c>
      <c r="G121" s="213">
        <v>3.07</v>
      </c>
      <c r="H121" s="214">
        <v>-4.4973737984840607</v>
      </c>
      <c r="J121" s="1"/>
      <c r="K121" s="1"/>
      <c r="L121" s="1"/>
      <c r="M121" s="1"/>
      <c r="N121" s="1"/>
      <c r="O121" s="1"/>
      <c r="P121" s="1"/>
      <c r="Q121" s="1"/>
      <c r="R121" s="1"/>
      <c r="S121" s="1"/>
    </row>
    <row r="122" spans="1:19" hidden="1">
      <c r="A122" s="226">
        <v>43344</v>
      </c>
      <c r="B122" s="213">
        <v>3</v>
      </c>
      <c r="C122" s="213">
        <v>3.23</v>
      </c>
      <c r="D122" s="213">
        <v>3.669582424221618</v>
      </c>
      <c r="E122" s="213">
        <v>3.77</v>
      </c>
      <c r="F122" s="215">
        <v>2972.18</v>
      </c>
      <c r="G122" s="213">
        <v>1.21</v>
      </c>
      <c r="H122" s="214">
        <v>-2.5803254908405737</v>
      </c>
      <c r="J122" s="1"/>
      <c r="K122" s="1"/>
      <c r="L122" s="1"/>
      <c r="M122" s="1"/>
      <c r="N122" s="1"/>
      <c r="O122" s="1"/>
      <c r="P122" s="1"/>
      <c r="Q122" s="1"/>
      <c r="R122" s="1"/>
      <c r="S122" s="1"/>
    </row>
    <row r="123" spans="1:19" hidden="1">
      <c r="A123" s="226">
        <v>43374</v>
      </c>
      <c r="B123" s="213">
        <v>3</v>
      </c>
      <c r="C123" s="213">
        <v>3.33</v>
      </c>
      <c r="D123" s="213">
        <v>3.7520793983881084</v>
      </c>
      <c r="E123" s="213">
        <v>4.2300000000000004</v>
      </c>
      <c r="F123" s="215">
        <v>3202.44</v>
      </c>
      <c r="G123" s="213">
        <v>6.34</v>
      </c>
      <c r="H123" s="214">
        <v>-1.432040780073518</v>
      </c>
      <c r="J123" s="1"/>
      <c r="K123" s="1"/>
      <c r="L123" s="1"/>
      <c r="M123" s="1"/>
      <c r="N123" s="1"/>
      <c r="O123" s="1"/>
      <c r="P123" s="1"/>
      <c r="Q123" s="1"/>
      <c r="R123" s="1"/>
      <c r="S123" s="1"/>
    </row>
    <row r="124" spans="1:19" hidden="1">
      <c r="A124" s="226">
        <v>43405</v>
      </c>
      <c r="B124" s="213">
        <v>3</v>
      </c>
      <c r="C124" s="213">
        <v>3.27</v>
      </c>
      <c r="D124" s="213">
        <v>3.6835516931431833</v>
      </c>
      <c r="E124" s="213">
        <v>3.32</v>
      </c>
      <c r="F124" s="215">
        <v>3240.02</v>
      </c>
      <c r="G124" s="213">
        <v>7.78</v>
      </c>
      <c r="H124" s="214">
        <v>-0.14022463810196006</v>
      </c>
      <c r="J124" s="1"/>
      <c r="K124" s="1"/>
      <c r="L124" s="1"/>
      <c r="M124" s="1"/>
      <c r="N124" s="1"/>
      <c r="O124" s="1"/>
      <c r="P124" s="1"/>
      <c r="Q124" s="1"/>
      <c r="R124" s="1"/>
      <c r="S124" s="1"/>
    </row>
    <row r="125" spans="1:19" hidden="1">
      <c r="A125" s="226">
        <v>43435</v>
      </c>
      <c r="B125" s="213">
        <v>3</v>
      </c>
      <c r="C125" s="213">
        <v>3.18</v>
      </c>
      <c r="D125" s="213">
        <v>3.5058744435203071</v>
      </c>
      <c r="E125" s="213">
        <v>3.09</v>
      </c>
      <c r="F125" s="215">
        <v>3249.75</v>
      </c>
      <c r="G125" s="213">
        <v>8.9058310991957157</v>
      </c>
      <c r="H125" s="214">
        <v>-0.90724690310400868</v>
      </c>
      <c r="J125" s="1"/>
      <c r="K125" s="1"/>
      <c r="L125" s="1"/>
      <c r="M125" s="1"/>
      <c r="N125" s="1"/>
      <c r="O125" s="1"/>
      <c r="P125" s="1"/>
      <c r="Q125" s="1"/>
      <c r="R125" s="1"/>
      <c r="S125" s="1"/>
    </row>
    <row r="126" spans="1:19" hidden="1">
      <c r="A126" s="226">
        <v>43466</v>
      </c>
      <c r="B126" s="213">
        <v>3</v>
      </c>
      <c r="C126" s="213">
        <v>3.15</v>
      </c>
      <c r="D126" s="213">
        <v>3.4760962024344977</v>
      </c>
      <c r="E126" s="213">
        <v>3.42</v>
      </c>
      <c r="F126" s="215">
        <v>3163.46</v>
      </c>
      <c r="G126" s="213">
        <v>11.23</v>
      </c>
      <c r="H126" s="214">
        <v>0.17903813363528975</v>
      </c>
      <c r="J126" s="1"/>
      <c r="K126" s="1"/>
      <c r="L126" s="1"/>
      <c r="M126" s="1"/>
      <c r="N126" s="1"/>
      <c r="O126" s="1"/>
      <c r="P126" s="1"/>
      <c r="Q126" s="1"/>
      <c r="R126" s="1"/>
      <c r="S126" s="1"/>
    </row>
    <row r="127" spans="1:19" hidden="1">
      <c r="A127" s="226">
        <v>43497</v>
      </c>
      <c r="B127" s="213">
        <v>3</v>
      </c>
      <c r="C127" s="213">
        <v>3.01</v>
      </c>
      <c r="D127" s="213">
        <v>3.2259192449780816</v>
      </c>
      <c r="E127" s="213">
        <v>3.35</v>
      </c>
      <c r="F127" s="215">
        <v>3072.01</v>
      </c>
      <c r="G127" s="213">
        <v>7.57</v>
      </c>
      <c r="H127" s="214">
        <v>1.3189752631459495</v>
      </c>
      <c r="J127" s="1"/>
      <c r="K127" s="1"/>
      <c r="L127" s="1"/>
      <c r="M127" s="1"/>
      <c r="N127" s="1"/>
      <c r="O127" s="1"/>
      <c r="P127" s="1"/>
      <c r="Q127" s="1"/>
      <c r="R127" s="1"/>
      <c r="S127" s="1"/>
    </row>
    <row r="128" spans="1:19" hidden="1">
      <c r="A128" s="226">
        <v>43525</v>
      </c>
      <c r="B128" s="213">
        <v>3</v>
      </c>
      <c r="C128" s="213">
        <v>3.21</v>
      </c>
      <c r="D128" s="213">
        <v>3.2749348640229714</v>
      </c>
      <c r="E128" s="213">
        <v>3.65</v>
      </c>
      <c r="F128" s="215">
        <v>3174.79</v>
      </c>
      <c r="G128" s="213">
        <v>14.18</v>
      </c>
      <c r="H128" s="214">
        <v>2.3667566299388376</v>
      </c>
      <c r="J128" s="1"/>
      <c r="K128" s="1"/>
      <c r="L128" s="1"/>
      <c r="M128" s="1"/>
      <c r="N128" s="1"/>
      <c r="O128" s="1"/>
      <c r="P128" s="1"/>
      <c r="Q128" s="1"/>
      <c r="R128" s="1"/>
      <c r="S128" s="1"/>
    </row>
    <row r="129" spans="1:19" hidden="1">
      <c r="A129" s="226">
        <v>43556</v>
      </c>
      <c r="B129" s="213">
        <v>3</v>
      </c>
      <c r="C129" s="213">
        <v>3.25</v>
      </c>
      <c r="D129" s="213">
        <v>3.3065966932305457</v>
      </c>
      <c r="E129" s="213">
        <v>4.79</v>
      </c>
      <c r="F129" s="215">
        <v>3247.72</v>
      </c>
      <c r="G129" s="213">
        <v>15.73</v>
      </c>
      <c r="H129" s="214">
        <v>5.6933442700790593</v>
      </c>
      <c r="J129" s="1"/>
      <c r="K129" s="1"/>
      <c r="L129" s="1"/>
      <c r="M129" s="1"/>
      <c r="N129" s="1"/>
      <c r="O129" s="1"/>
      <c r="P129" s="1"/>
      <c r="Q129" s="1"/>
      <c r="R129" s="1"/>
      <c r="S129" s="1"/>
    </row>
    <row r="130" spans="1:19" hidden="1">
      <c r="A130" s="226">
        <v>43586</v>
      </c>
      <c r="B130" s="213">
        <v>3</v>
      </c>
      <c r="C130" s="213">
        <v>3.31</v>
      </c>
      <c r="D130" s="213">
        <v>3.2621918470303157</v>
      </c>
      <c r="E130" s="213">
        <v>5.0061156735977663</v>
      </c>
      <c r="F130" s="215">
        <v>3357.82</v>
      </c>
      <c r="G130" s="213">
        <v>16.62</v>
      </c>
      <c r="H130" s="214">
        <v>6.8424903955637273</v>
      </c>
      <c r="J130" s="1"/>
      <c r="K130" s="1"/>
      <c r="L130" s="1"/>
      <c r="M130" s="1"/>
      <c r="N130" s="1"/>
      <c r="O130" s="1"/>
      <c r="P130" s="1"/>
      <c r="Q130" s="1"/>
      <c r="R130" s="1"/>
      <c r="S130" s="1"/>
    </row>
    <row r="131" spans="1:19" hidden="1">
      <c r="A131" s="226">
        <v>43617</v>
      </c>
      <c r="B131" s="213">
        <v>3</v>
      </c>
      <c r="C131" s="213">
        <v>3.43</v>
      </c>
      <c r="D131" s="213">
        <v>3.2201564514723113</v>
      </c>
      <c r="E131" s="213">
        <v>4.4344641144152819</v>
      </c>
      <c r="F131" s="215">
        <v>3205.67</v>
      </c>
      <c r="G131" s="213">
        <v>9.3786679404940685</v>
      </c>
      <c r="H131" s="214">
        <v>4.6108008434629255</v>
      </c>
      <c r="J131" s="1"/>
      <c r="K131" s="1"/>
      <c r="L131" s="1"/>
      <c r="M131" s="1"/>
      <c r="N131" s="1"/>
      <c r="O131" s="1"/>
      <c r="P131" s="1"/>
      <c r="Q131" s="1"/>
      <c r="R131" s="1"/>
      <c r="S131" s="1"/>
    </row>
    <row r="132" spans="1:19" hidden="1">
      <c r="A132" s="226">
        <v>43647</v>
      </c>
      <c r="B132" s="213">
        <v>3</v>
      </c>
      <c r="C132" s="213">
        <v>3.79</v>
      </c>
      <c r="D132" s="213">
        <v>3.3057552876905483</v>
      </c>
      <c r="E132" s="213">
        <v>5.3950240069838618</v>
      </c>
      <c r="F132" s="215">
        <v>3296.85</v>
      </c>
      <c r="G132" s="213">
        <v>14.64</v>
      </c>
      <c r="H132" s="214">
        <v>2.817401376369788</v>
      </c>
      <c r="J132" s="1"/>
      <c r="K132" s="1"/>
      <c r="L132" s="1"/>
      <c r="M132" s="1"/>
      <c r="N132" s="1"/>
      <c r="O132" s="1"/>
      <c r="P132" s="1"/>
      <c r="Q132" s="1"/>
      <c r="R132" s="1"/>
      <c r="S132" s="1"/>
    </row>
    <row r="133" spans="1:19" hidden="1">
      <c r="A133" s="226">
        <v>43678</v>
      </c>
      <c r="B133" s="213">
        <v>3</v>
      </c>
      <c r="C133" s="213">
        <v>3.75</v>
      </c>
      <c r="D133" s="213">
        <v>3.2846104537903154</v>
      </c>
      <c r="E133" s="213">
        <v>5.98</v>
      </c>
      <c r="F133" s="215">
        <v>3427.29</v>
      </c>
      <c r="G133" s="213">
        <v>13.21</v>
      </c>
      <c r="H133" s="214">
        <v>6.9606875950284808</v>
      </c>
      <c r="J133" s="1"/>
      <c r="K133" s="1"/>
      <c r="L133" s="1"/>
      <c r="M133" s="1"/>
      <c r="N133" s="1"/>
      <c r="O133" s="1"/>
      <c r="P133" s="1"/>
      <c r="Q133" s="1"/>
      <c r="R133" s="1"/>
      <c r="S133" s="1"/>
    </row>
    <row r="134" spans="1:19" hidden="1">
      <c r="A134" s="226">
        <v>43709</v>
      </c>
      <c r="B134" s="213">
        <v>3</v>
      </c>
      <c r="C134" s="213">
        <v>3.82</v>
      </c>
      <c r="D134" s="213">
        <v>3.365877974824083</v>
      </c>
      <c r="E134" s="213">
        <v>5.28</v>
      </c>
      <c r="F134" s="215">
        <v>3462.01</v>
      </c>
      <c r="G134" s="213">
        <v>16.48</v>
      </c>
      <c r="H134" s="214">
        <v>4.1142267616528505</v>
      </c>
      <c r="J134" s="1"/>
      <c r="K134" s="1"/>
      <c r="L134" s="1"/>
      <c r="M134" s="1"/>
      <c r="N134" s="1"/>
      <c r="O134" s="1"/>
      <c r="P134" s="1"/>
      <c r="Q134" s="1"/>
      <c r="R134" s="1"/>
      <c r="S134" s="1"/>
    </row>
    <row r="135" spans="1:19" hidden="1">
      <c r="A135" s="226">
        <v>43739</v>
      </c>
      <c r="B135" s="213">
        <v>3</v>
      </c>
      <c r="C135" s="213">
        <v>3.86</v>
      </c>
      <c r="D135" s="213">
        <v>3.3299015586865988</v>
      </c>
      <c r="E135" s="213">
        <v>4.82</v>
      </c>
      <c r="F135" s="215">
        <v>3389.94</v>
      </c>
      <c r="G135" s="213">
        <v>5.85</v>
      </c>
      <c r="H135" s="214">
        <v>3.6532001997126029</v>
      </c>
      <c r="J135" s="1"/>
      <c r="K135" s="1"/>
      <c r="L135" s="1"/>
      <c r="M135" s="1"/>
      <c r="N135" s="1"/>
      <c r="O135" s="1"/>
      <c r="P135" s="1"/>
      <c r="Q135" s="1"/>
      <c r="R135" s="1"/>
      <c r="S135" s="1"/>
    </row>
    <row r="136" spans="1:19" hidden="1">
      <c r="A136" s="226">
        <v>43770</v>
      </c>
      <c r="B136" s="213">
        <v>3</v>
      </c>
      <c r="C136" s="213">
        <v>3.84</v>
      </c>
      <c r="D136" s="213">
        <v>3.3830091035800924</v>
      </c>
      <c r="E136" s="213">
        <v>4.5199999999999996</v>
      </c>
      <c r="F136" s="215">
        <v>3522.48</v>
      </c>
      <c r="G136" s="213">
        <v>8.7200000000000006</v>
      </c>
      <c r="H136" s="214">
        <v>0.24164915536948328</v>
      </c>
      <c r="J136" s="1"/>
      <c r="K136" s="1"/>
      <c r="L136" s="1"/>
      <c r="M136" s="1"/>
      <c r="N136" s="1"/>
      <c r="O136" s="1"/>
      <c r="P136" s="1"/>
      <c r="Q136" s="1"/>
      <c r="R136" s="1"/>
      <c r="S136" s="1"/>
    </row>
    <row r="137" spans="1:19" hidden="1">
      <c r="A137" s="226">
        <v>43800</v>
      </c>
      <c r="B137" s="213">
        <v>3</v>
      </c>
      <c r="C137" s="213">
        <v>3.8</v>
      </c>
      <c r="D137" s="213">
        <v>3.4506032890035732</v>
      </c>
      <c r="E137" s="213">
        <v>4.66</v>
      </c>
      <c r="F137" s="215">
        <v>3277.14</v>
      </c>
      <c r="G137" s="213">
        <v>0.8428340641587706</v>
      </c>
      <c r="H137" s="214">
        <v>0.64132635908247249</v>
      </c>
      <c r="J137" s="1"/>
      <c r="K137" s="1"/>
      <c r="L137" s="1"/>
      <c r="M137" s="1"/>
      <c r="N137" s="1"/>
      <c r="O137" s="1"/>
      <c r="P137" s="1"/>
      <c r="Q137" s="1"/>
      <c r="R137" s="1"/>
      <c r="S137" s="1"/>
    </row>
    <row r="138" spans="1:19" hidden="1">
      <c r="A138" s="226">
        <v>43831</v>
      </c>
      <c r="B138" s="213">
        <v>3</v>
      </c>
      <c r="C138" s="213">
        <v>3.62</v>
      </c>
      <c r="D138" s="213">
        <v>3.351938164640722</v>
      </c>
      <c r="E138" s="213">
        <v>4.4000000000000004</v>
      </c>
      <c r="F138" s="215">
        <v>3411.45</v>
      </c>
      <c r="G138" s="213">
        <v>7.84</v>
      </c>
      <c r="H138" s="214">
        <v>0.51926535487267778</v>
      </c>
      <c r="J138" s="1"/>
      <c r="K138" s="1"/>
      <c r="L138" s="1"/>
      <c r="M138" s="1"/>
      <c r="N138" s="1"/>
      <c r="O138" s="1"/>
      <c r="P138" s="1"/>
      <c r="Q138" s="1"/>
      <c r="R138" s="1"/>
      <c r="S138" s="1"/>
    </row>
    <row r="139" spans="1:19" hidden="1">
      <c r="A139" s="226">
        <v>43862</v>
      </c>
      <c r="B139" s="213">
        <v>3</v>
      </c>
      <c r="C139" s="213">
        <v>3.72</v>
      </c>
      <c r="D139" s="213">
        <v>3.337094633509663</v>
      </c>
      <c r="E139" s="213">
        <v>4.2300000000000004</v>
      </c>
      <c r="F139" s="215">
        <v>3539.86</v>
      </c>
      <c r="G139" s="213">
        <v>15.23</v>
      </c>
      <c r="H139" s="214">
        <v>3.1790347975775735</v>
      </c>
      <c r="J139" s="1"/>
      <c r="K139" s="1"/>
      <c r="L139" s="1"/>
      <c r="M139" s="1"/>
      <c r="N139" s="1"/>
      <c r="O139" s="1"/>
      <c r="P139" s="1"/>
      <c r="Q139" s="1"/>
      <c r="R139" s="1"/>
      <c r="S139" s="1"/>
    </row>
    <row r="140" spans="1:19" hidden="1">
      <c r="A140" s="226">
        <v>43891</v>
      </c>
      <c r="B140" s="213">
        <v>3</v>
      </c>
      <c r="C140" s="213">
        <v>3.86</v>
      </c>
      <c r="D140" s="213">
        <v>3.2579235720648914</v>
      </c>
      <c r="E140" s="213">
        <v>4.6221482889733823</v>
      </c>
      <c r="F140" s="215">
        <v>4064.81</v>
      </c>
      <c r="G140" s="213">
        <v>28.03</v>
      </c>
      <c r="H140" s="214">
        <v>12.141417357865581</v>
      </c>
      <c r="J140" s="1"/>
      <c r="K140" s="1"/>
      <c r="L140" s="1"/>
      <c r="M140" s="1"/>
      <c r="N140" s="1"/>
      <c r="O140" s="1"/>
      <c r="P140" s="1"/>
      <c r="Q140" s="1"/>
      <c r="R140" s="1"/>
      <c r="S140" s="1"/>
    </row>
    <row r="141" spans="1:19" hidden="1">
      <c r="A141" s="226">
        <v>43922</v>
      </c>
      <c r="B141" s="213">
        <v>3</v>
      </c>
      <c r="C141" s="213">
        <v>3.51</v>
      </c>
      <c r="D141" s="213">
        <v>2.6550753297996721</v>
      </c>
      <c r="E141" s="213">
        <v>3.1381457176510308</v>
      </c>
      <c r="F141" s="215">
        <v>3983.29</v>
      </c>
      <c r="G141" s="213">
        <v>22.65</v>
      </c>
      <c r="H141" s="214">
        <v>11.205825172245953</v>
      </c>
      <c r="J141" s="1"/>
      <c r="K141" s="1"/>
      <c r="L141" s="1"/>
      <c r="M141" s="1"/>
      <c r="N141" s="1"/>
      <c r="O141" s="1"/>
      <c r="P141" s="1"/>
      <c r="Q141" s="1"/>
      <c r="R141" s="1"/>
      <c r="S141" s="1"/>
    </row>
    <row r="142" spans="1:19" hidden="1">
      <c r="A142" s="226">
        <v>43952</v>
      </c>
      <c r="B142" s="213">
        <v>3</v>
      </c>
      <c r="C142" s="213">
        <v>2.85</v>
      </c>
      <c r="D142" s="213">
        <v>1.9996184905314296</v>
      </c>
      <c r="E142" s="213">
        <v>1.921956901572508</v>
      </c>
      <c r="F142" s="215">
        <v>3718.82</v>
      </c>
      <c r="G142" s="213">
        <v>10.75</v>
      </c>
      <c r="H142" s="214">
        <v>5.1090816288110963</v>
      </c>
      <c r="J142" s="1"/>
      <c r="K142" s="1"/>
      <c r="L142" s="1"/>
      <c r="M142" s="1"/>
      <c r="N142" s="1"/>
      <c r="O142" s="1"/>
      <c r="P142" s="1"/>
      <c r="Q142" s="1"/>
      <c r="R142" s="1"/>
      <c r="S142" s="1"/>
    </row>
    <row r="143" spans="1:19" hidden="1">
      <c r="A143" s="226">
        <v>43983</v>
      </c>
      <c r="B143" s="213">
        <v>3</v>
      </c>
      <c r="C143" s="213">
        <v>2.19</v>
      </c>
      <c r="D143" s="213">
        <v>1.3993950963227642</v>
      </c>
      <c r="E143" s="213">
        <v>2.3648281908897451</v>
      </c>
      <c r="F143" s="215">
        <v>3758.91</v>
      </c>
      <c r="G143" s="213">
        <v>17.260000000000002</v>
      </c>
      <c r="H143" s="214">
        <v>4.3874656224405895</v>
      </c>
      <c r="J143" s="1"/>
      <c r="K143" s="1"/>
      <c r="L143" s="1"/>
      <c r="M143" s="1"/>
      <c r="N143" s="1"/>
      <c r="O143" s="1"/>
      <c r="P143" s="1"/>
      <c r="Q143" s="1"/>
      <c r="R143" s="1"/>
      <c r="S143" s="1"/>
    </row>
    <row r="144" spans="1:19" hidden="1">
      <c r="A144" s="226">
        <v>44013</v>
      </c>
      <c r="B144" s="213">
        <v>3</v>
      </c>
      <c r="C144" s="213">
        <v>1.97</v>
      </c>
      <c r="D144" s="213">
        <v>1.4154359399102479</v>
      </c>
      <c r="E144" s="213">
        <v>1.6814379193241136</v>
      </c>
      <c r="F144" s="215">
        <v>3739.49</v>
      </c>
      <c r="G144" s="213">
        <v>13.43</v>
      </c>
      <c r="H144" s="214">
        <v>6.7804357554454242</v>
      </c>
      <c r="J144" s="1"/>
      <c r="K144" s="1"/>
      <c r="L144" s="1"/>
      <c r="M144" s="1"/>
      <c r="N144" s="1"/>
      <c r="O144" s="1"/>
      <c r="P144" s="1"/>
      <c r="Q144" s="1"/>
      <c r="R144" s="1"/>
      <c r="S144" s="1"/>
    </row>
    <row r="145" spans="1:19" hidden="1">
      <c r="A145" s="226">
        <v>44044</v>
      </c>
      <c r="B145" s="213">
        <v>3</v>
      </c>
      <c r="C145" s="213">
        <v>1.88</v>
      </c>
      <c r="D145" s="213">
        <v>1.369177860759474</v>
      </c>
      <c r="E145" s="213">
        <v>1.587993421052647</v>
      </c>
      <c r="F145" s="215">
        <v>3760.38</v>
      </c>
      <c r="G145" s="213">
        <v>9.7200000000000006</v>
      </c>
      <c r="H145" s="214">
        <v>7.83093266424435</v>
      </c>
      <c r="J145" s="1"/>
      <c r="K145" s="1"/>
      <c r="L145" s="1"/>
      <c r="M145" s="1"/>
      <c r="N145" s="1"/>
      <c r="O145" s="1"/>
      <c r="P145" s="1"/>
      <c r="Q145" s="1"/>
      <c r="R145" s="1"/>
      <c r="S145" s="1"/>
    </row>
    <row r="146" spans="1:19" hidden="1">
      <c r="A146" s="226">
        <v>44075</v>
      </c>
      <c r="B146" s="213">
        <v>3</v>
      </c>
      <c r="C146" s="213">
        <v>1.97</v>
      </c>
      <c r="D146" s="213">
        <v>1.5702045352782301</v>
      </c>
      <c r="E146" s="213">
        <v>1.2026507404074183</v>
      </c>
      <c r="F146" s="215">
        <v>3878.94</v>
      </c>
      <c r="G146" s="213">
        <v>12.04</v>
      </c>
      <c r="H146" s="214">
        <v>9.3655425386888638</v>
      </c>
      <c r="J146" s="1"/>
      <c r="K146" s="1"/>
      <c r="L146" s="1"/>
      <c r="M146" s="1"/>
      <c r="N146" s="1"/>
      <c r="O146" s="1"/>
      <c r="P146" s="1"/>
      <c r="Q146" s="1"/>
      <c r="R146" s="1"/>
      <c r="S146" s="1"/>
    </row>
    <row r="147" spans="1:19" hidden="1">
      <c r="A147" s="226">
        <v>44105</v>
      </c>
      <c r="B147" s="213">
        <v>3</v>
      </c>
      <c r="C147" s="213">
        <v>1.75</v>
      </c>
      <c r="D147" s="213">
        <v>1.42</v>
      </c>
      <c r="E147" s="213">
        <v>1.5093416007179616</v>
      </c>
      <c r="F147" s="215">
        <v>3858.56</v>
      </c>
      <c r="G147" s="213">
        <v>13.82</v>
      </c>
      <c r="H147" s="214">
        <v>10.479441272525269</v>
      </c>
      <c r="J147" s="1"/>
      <c r="K147" s="1"/>
      <c r="L147" s="1"/>
      <c r="M147" s="1"/>
      <c r="N147" s="1"/>
      <c r="O147" s="1"/>
      <c r="P147" s="1"/>
      <c r="Q147" s="1"/>
      <c r="R147" s="1"/>
      <c r="S147" s="1"/>
    </row>
    <row r="148" spans="1:19" hidden="1">
      <c r="A148" s="226">
        <v>44136</v>
      </c>
      <c r="B148" s="213">
        <v>3</v>
      </c>
      <c r="C148" s="213">
        <v>1.49</v>
      </c>
      <c r="D148" s="213">
        <v>1.02</v>
      </c>
      <c r="E148" s="213">
        <v>1.6351892731583773</v>
      </c>
      <c r="F148" s="215">
        <v>3611.44</v>
      </c>
      <c r="G148" s="213">
        <v>2.5299999999999998</v>
      </c>
      <c r="H148" s="214">
        <v>8.4256668135416</v>
      </c>
      <c r="J148" s="1"/>
      <c r="K148" s="1"/>
      <c r="L148" s="1"/>
      <c r="M148" s="1"/>
      <c r="N148" s="1"/>
      <c r="O148" s="1"/>
      <c r="P148" s="1"/>
      <c r="Q148" s="1"/>
      <c r="R148" s="1"/>
      <c r="S148" s="1"/>
    </row>
    <row r="149" spans="1:19" hidden="1">
      <c r="A149" s="226">
        <v>44166</v>
      </c>
      <c r="B149" s="213">
        <v>3</v>
      </c>
      <c r="C149" s="213">
        <v>1.61</v>
      </c>
      <c r="D149" s="213">
        <v>1.03</v>
      </c>
      <c r="E149" s="213">
        <v>1.650866296175213</v>
      </c>
      <c r="F149" s="215">
        <v>3432.5</v>
      </c>
      <c r="G149" s="213">
        <v>4.7407190416033584</v>
      </c>
      <c r="H149" s="214">
        <v>4.7214905252964678</v>
      </c>
      <c r="J149" s="1"/>
      <c r="K149" s="1"/>
      <c r="L149" s="1"/>
      <c r="M149" s="1"/>
      <c r="N149" s="1"/>
      <c r="O149" s="1"/>
      <c r="P149" s="1"/>
      <c r="Q149" s="1"/>
      <c r="R149" s="1"/>
      <c r="S149" s="1"/>
    </row>
    <row r="150" spans="1:19" hidden="1">
      <c r="A150" s="226">
        <v>44197</v>
      </c>
      <c r="B150" s="213">
        <v>3</v>
      </c>
      <c r="C150" s="213">
        <v>1.6</v>
      </c>
      <c r="D150" s="213">
        <v>0.89</v>
      </c>
      <c r="E150" s="213">
        <v>3.2810201078960155</v>
      </c>
      <c r="F150" s="215">
        <v>3559.46</v>
      </c>
      <c r="G150" s="213">
        <v>4.34</v>
      </c>
      <c r="H150" s="214">
        <v>7.1755037507501118</v>
      </c>
      <c r="J150" s="1"/>
      <c r="K150" s="1"/>
      <c r="L150" s="1"/>
      <c r="M150" s="1"/>
      <c r="N150" s="1"/>
      <c r="O150" s="1"/>
      <c r="P150" s="1"/>
      <c r="Q150" s="1"/>
      <c r="R150" s="1"/>
      <c r="S150" s="1"/>
    </row>
    <row r="151" spans="1:19" hidden="1">
      <c r="A151" s="226">
        <v>44228</v>
      </c>
      <c r="B151" s="213">
        <v>3</v>
      </c>
      <c r="C151" s="213">
        <v>1.56</v>
      </c>
      <c r="D151" s="213">
        <v>0.93</v>
      </c>
      <c r="E151" s="213">
        <v>5.1414091875102041</v>
      </c>
      <c r="F151" s="215">
        <v>3624.39</v>
      </c>
      <c r="G151" s="213">
        <v>2.39</v>
      </c>
      <c r="H151" s="214">
        <v>7.1624160850715102</v>
      </c>
      <c r="J151" s="1"/>
      <c r="K151" s="1"/>
      <c r="L151" s="1"/>
      <c r="M151" s="1"/>
      <c r="N151" s="1"/>
      <c r="O151" s="1"/>
      <c r="P151" s="1"/>
      <c r="Q151" s="1"/>
      <c r="R151" s="1"/>
      <c r="S151" s="1"/>
    </row>
    <row r="152" spans="1:19" hidden="1">
      <c r="A152" s="226">
        <v>44256</v>
      </c>
      <c r="B152" s="213">
        <v>3</v>
      </c>
      <c r="C152" s="213">
        <v>1.51</v>
      </c>
      <c r="D152" s="213">
        <v>1.06</v>
      </c>
      <c r="E152" s="213">
        <v>6.4168086314594142</v>
      </c>
      <c r="F152" s="215">
        <v>3736.91</v>
      </c>
      <c r="G152" s="213">
        <v>-8.07</v>
      </c>
      <c r="H152" s="214">
        <v>-1.252712413655932</v>
      </c>
      <c r="J152" s="1"/>
      <c r="K152" s="1"/>
      <c r="L152" s="1"/>
      <c r="M152" s="1"/>
      <c r="N152" s="1"/>
      <c r="O152" s="1"/>
      <c r="P152" s="1"/>
      <c r="Q152" s="1"/>
      <c r="R152" s="1"/>
      <c r="S152" s="1"/>
    </row>
    <row r="153" spans="1:19" hidden="1">
      <c r="A153" s="226">
        <v>44287</v>
      </c>
      <c r="B153" s="213">
        <v>3</v>
      </c>
      <c r="C153" s="213">
        <v>1.95</v>
      </c>
      <c r="D153" s="213">
        <v>1.56</v>
      </c>
      <c r="E153" s="213">
        <v>8.4754058242923378</v>
      </c>
      <c r="F153" s="215">
        <v>3712.89</v>
      </c>
      <c r="G153" s="213">
        <v>-6.79</v>
      </c>
      <c r="H153" s="214">
        <v>0.13257810812390414</v>
      </c>
      <c r="J153" s="1"/>
      <c r="K153" s="1"/>
      <c r="L153" s="1"/>
      <c r="M153" s="1"/>
      <c r="N153" s="1"/>
      <c r="O153" s="1"/>
      <c r="P153" s="1"/>
      <c r="Q153" s="1"/>
      <c r="R153" s="1"/>
      <c r="S153" s="1"/>
    </row>
    <row r="154" spans="1:19" hidden="1">
      <c r="A154" s="226">
        <v>44317</v>
      </c>
      <c r="B154" s="213">
        <v>3</v>
      </c>
      <c r="C154" s="213">
        <v>3.3</v>
      </c>
      <c r="D154" s="213">
        <v>2.11</v>
      </c>
      <c r="E154" s="213">
        <v>11.208163265306116</v>
      </c>
      <c r="F154" s="215">
        <v>3715.28</v>
      </c>
      <c r="G154" s="213">
        <v>-9.5191485471202153E-2</v>
      </c>
      <c r="H154" s="214">
        <v>5.9521057777325082</v>
      </c>
      <c r="J154" s="1"/>
      <c r="K154" s="1"/>
      <c r="L154" s="1"/>
      <c r="M154" s="1"/>
      <c r="N154" s="1"/>
      <c r="O154" s="1"/>
      <c r="P154" s="1"/>
      <c r="Q154" s="1"/>
      <c r="R154" s="1"/>
      <c r="S154" s="1"/>
    </row>
    <row r="155" spans="1:19" hidden="1">
      <c r="A155" s="226">
        <v>44348</v>
      </c>
      <c r="B155" s="213">
        <v>3</v>
      </c>
      <c r="C155" s="213">
        <v>3.63</v>
      </c>
      <c r="D155" s="213">
        <v>2.7</v>
      </c>
      <c r="E155" s="213">
        <v>11.716576798518584</v>
      </c>
      <c r="F155" s="215">
        <v>3756.67</v>
      </c>
      <c r="G155" s="213">
        <v>-5.9591743351128379E-2</v>
      </c>
      <c r="H155" s="214">
        <v>7.0160282679242014</v>
      </c>
      <c r="J155" s="1"/>
      <c r="K155" s="1"/>
      <c r="L155" s="1"/>
      <c r="M155" s="1"/>
      <c r="N155" s="1"/>
      <c r="O155" s="1"/>
      <c r="P155" s="1"/>
      <c r="Q155" s="1"/>
      <c r="R155" s="1"/>
      <c r="S155" s="1"/>
    </row>
    <row r="156" spans="1:19" hidden="1">
      <c r="A156" s="226">
        <v>44378</v>
      </c>
      <c r="B156" s="213">
        <v>3</v>
      </c>
      <c r="C156" s="213">
        <v>3.97</v>
      </c>
      <c r="D156" s="213">
        <v>2.86</v>
      </c>
      <c r="E156" s="213">
        <v>12.593678722710976</v>
      </c>
      <c r="F156" s="215">
        <v>3867.88</v>
      </c>
      <c r="G156" s="213">
        <v>3.4333558854282353</v>
      </c>
      <c r="H156" s="214">
        <v>10.112168107019803</v>
      </c>
      <c r="J156" s="1"/>
      <c r="K156" s="1"/>
      <c r="L156" s="1"/>
      <c r="M156" s="1"/>
      <c r="N156" s="1"/>
      <c r="O156" s="1"/>
      <c r="P156" s="1"/>
      <c r="Q156" s="1"/>
      <c r="R156" s="1"/>
      <c r="S156" s="1"/>
    </row>
    <row r="157" spans="1:19" hidden="1">
      <c r="A157" s="226">
        <v>44409</v>
      </c>
      <c r="B157" s="213">
        <v>3</v>
      </c>
      <c r="C157" s="213">
        <v>4.4400000000000004</v>
      </c>
      <c r="D157" s="213">
        <v>3.11</v>
      </c>
      <c r="E157" s="213">
        <v>13.032356250657728</v>
      </c>
      <c r="F157" s="215">
        <v>3806.87</v>
      </c>
      <c r="G157" s="213">
        <v>1.2363112238656715</v>
      </c>
      <c r="H157" s="214">
        <v>6.0250938516857033</v>
      </c>
      <c r="J157" s="1"/>
      <c r="K157" s="1"/>
      <c r="L157" s="1"/>
      <c r="M157" s="1"/>
      <c r="N157" s="1"/>
      <c r="O157" s="1"/>
      <c r="P157" s="1"/>
      <c r="Q157" s="1"/>
      <c r="R157" s="1"/>
      <c r="S157" s="1"/>
    </row>
    <row r="158" spans="1:19" hidden="1">
      <c r="A158" s="226">
        <v>44440</v>
      </c>
      <c r="B158" s="213">
        <v>3</v>
      </c>
      <c r="C158" s="213">
        <v>4.51</v>
      </c>
      <c r="D158" s="213">
        <v>3.03</v>
      </c>
      <c r="E158" s="213">
        <v>13.831851253031523</v>
      </c>
      <c r="F158" s="215">
        <v>3834.68</v>
      </c>
      <c r="G158" s="213">
        <v>-1.1410333750973223</v>
      </c>
      <c r="H158" s="214">
        <v>4.1345276868829162</v>
      </c>
      <c r="J158" s="1"/>
      <c r="K158" s="1"/>
      <c r="L158" s="1"/>
      <c r="M158" s="1"/>
      <c r="N158" s="1"/>
      <c r="O158" s="1"/>
      <c r="P158" s="1"/>
      <c r="Q158" s="1"/>
      <c r="R158" s="1"/>
      <c r="S158" s="1"/>
    </row>
    <row r="159" spans="1:19" hidden="1">
      <c r="A159" s="226">
        <v>44470</v>
      </c>
      <c r="B159" s="213">
        <v>3</v>
      </c>
      <c r="C159" s="213">
        <v>4.58</v>
      </c>
      <c r="D159" s="213">
        <v>2.86</v>
      </c>
      <c r="E159" s="213">
        <v>14.820768365214597</v>
      </c>
      <c r="F159" s="215">
        <v>3784.44</v>
      </c>
      <c r="G159" s="213">
        <v>-1.92</v>
      </c>
      <c r="H159" s="214">
        <v>0.68192136362001943</v>
      </c>
      <c r="J159" s="1"/>
      <c r="K159" s="1"/>
      <c r="L159" s="1"/>
      <c r="M159" s="1"/>
      <c r="N159" s="1"/>
      <c r="O159" s="1"/>
      <c r="P159" s="1"/>
      <c r="Q159" s="1"/>
      <c r="R159" s="1"/>
      <c r="S159" s="1"/>
    </row>
    <row r="160" spans="1:19" hidden="1">
      <c r="A160" s="226">
        <v>44501</v>
      </c>
      <c r="B160" s="213">
        <v>3</v>
      </c>
      <c r="C160" s="213">
        <v>5.26</v>
      </c>
      <c r="D160" s="213">
        <v>3.37</v>
      </c>
      <c r="E160" s="213">
        <v>17.198938138524646</v>
      </c>
      <c r="F160" s="215">
        <v>4010.98</v>
      </c>
      <c r="G160" s="213">
        <v>11.06</v>
      </c>
      <c r="H160" s="214">
        <v>4.7063076717705377</v>
      </c>
      <c r="J160" s="1"/>
      <c r="K160" s="1"/>
      <c r="L160" s="1"/>
      <c r="M160" s="1"/>
      <c r="N160" s="1"/>
      <c r="O160" s="1"/>
      <c r="P160" s="1"/>
      <c r="Q160" s="1"/>
      <c r="R160" s="1"/>
      <c r="S160" s="1"/>
    </row>
    <row r="161" spans="1:19" hidden="1">
      <c r="A161" s="226">
        <v>44531</v>
      </c>
      <c r="B161" s="213">
        <v>3</v>
      </c>
      <c r="C161" s="213">
        <v>5.62</v>
      </c>
      <c r="D161" s="213">
        <v>3.44</v>
      </c>
      <c r="E161" s="213">
        <v>18.628396848367924</v>
      </c>
      <c r="F161" s="215">
        <v>3981.16</v>
      </c>
      <c r="G161" s="213">
        <v>15.984268026219951</v>
      </c>
      <c r="H161" s="214">
        <v>9.1482544405388833</v>
      </c>
      <c r="J161" s="1"/>
      <c r="K161" s="1"/>
      <c r="L161" s="1"/>
      <c r="M161" s="1"/>
      <c r="N161" s="1"/>
      <c r="O161" s="1"/>
      <c r="P161" s="1"/>
      <c r="Q161" s="1"/>
      <c r="R161" s="1"/>
      <c r="S161" s="1"/>
    </row>
    <row r="162" spans="1:19" hidden="1">
      <c r="A162" s="226">
        <v>44562</v>
      </c>
      <c r="B162" s="213">
        <v>3</v>
      </c>
      <c r="C162" s="213">
        <v>6.94</v>
      </c>
      <c r="D162" s="213">
        <v>4.47</v>
      </c>
      <c r="E162" s="213">
        <v>21.412855944410136</v>
      </c>
      <c r="F162" s="215">
        <v>3982.6</v>
      </c>
      <c r="G162" s="213">
        <v>11.887758255465709</v>
      </c>
      <c r="H162" s="214">
        <v>7.5039358079720619</v>
      </c>
      <c r="J162" s="1"/>
      <c r="K162" s="1"/>
      <c r="L162" s="1"/>
      <c r="M162" s="1"/>
      <c r="N162" s="1"/>
      <c r="O162" s="1"/>
      <c r="P162" s="1"/>
      <c r="Q162" s="1"/>
      <c r="R162" s="1"/>
      <c r="S162" s="1"/>
    </row>
    <row r="163" spans="1:19" hidden="1">
      <c r="A163" s="226">
        <v>44593</v>
      </c>
      <c r="B163" s="213">
        <v>3</v>
      </c>
      <c r="C163" s="213">
        <v>8.01</v>
      </c>
      <c r="D163" s="213">
        <v>5.0999999999999996</v>
      </c>
      <c r="E163" s="213">
        <v>22.56860763429993</v>
      </c>
      <c r="F163" s="215">
        <v>3910.64</v>
      </c>
      <c r="G163" s="213">
        <v>7.8978807468291112</v>
      </c>
      <c r="H163" s="214">
        <v>3.9591224620618259</v>
      </c>
      <c r="J163" s="1"/>
      <c r="K163" s="1"/>
      <c r="L163" s="1"/>
      <c r="M163" s="1"/>
      <c r="N163" s="1"/>
      <c r="O163" s="1"/>
      <c r="P163" s="1"/>
      <c r="Q163" s="1"/>
      <c r="R163" s="1"/>
      <c r="S163" s="1"/>
    </row>
    <row r="164" spans="1:19" hidden="1">
      <c r="A164" s="226">
        <v>44621</v>
      </c>
      <c r="B164" s="213">
        <v>3</v>
      </c>
      <c r="C164" s="213">
        <v>8.5299999999999994</v>
      </c>
      <c r="D164" s="213">
        <v>5.31</v>
      </c>
      <c r="E164" s="213">
        <v>22.86933983838999</v>
      </c>
      <c r="F164" s="215">
        <v>3748.15</v>
      </c>
      <c r="G164" s="213">
        <v>0.3</v>
      </c>
      <c r="H164" s="214">
        <v>-0.20780539942607534</v>
      </c>
      <c r="J164" s="1"/>
      <c r="K164" s="1"/>
      <c r="L164" s="1"/>
      <c r="M164" s="1"/>
      <c r="N164" s="1"/>
      <c r="O164" s="1"/>
      <c r="P164" s="1"/>
      <c r="Q164" s="1"/>
      <c r="R164" s="1"/>
      <c r="S164" s="1"/>
    </row>
    <row r="165" spans="1:19" hidden="1">
      <c r="A165" s="226">
        <v>44652</v>
      </c>
      <c r="B165" s="213">
        <v>3</v>
      </c>
      <c r="C165" s="213">
        <v>9.23</v>
      </c>
      <c r="D165" s="213">
        <v>5.94</v>
      </c>
      <c r="E165" s="213">
        <v>23.311776206948419</v>
      </c>
      <c r="F165" s="215">
        <v>3966.27</v>
      </c>
      <c r="G165" s="213">
        <v>6.8243336053586345</v>
      </c>
      <c r="H165" s="214">
        <v>-2.198969034476872</v>
      </c>
      <c r="J165" s="1"/>
      <c r="K165" s="1"/>
      <c r="L165" s="1"/>
      <c r="M165" s="1"/>
      <c r="N165" s="1"/>
      <c r="O165" s="1"/>
      <c r="P165" s="1"/>
      <c r="Q165" s="1"/>
      <c r="R165" s="1"/>
      <c r="S165" s="1"/>
    </row>
    <row r="166" spans="1:19" hidden="1">
      <c r="A166" s="226">
        <v>44682</v>
      </c>
      <c r="B166" s="213">
        <v>3</v>
      </c>
      <c r="C166" s="213">
        <v>9.07</v>
      </c>
      <c r="D166" s="213">
        <v>6.5</v>
      </c>
      <c r="E166" s="213">
        <v>22.227115906922123</v>
      </c>
      <c r="F166" s="215">
        <v>3912.34</v>
      </c>
      <c r="G166" s="213">
        <v>5.3040416873021634</v>
      </c>
      <c r="H166" s="214">
        <v>-1.2417797471579561</v>
      </c>
      <c r="J166" s="1"/>
      <c r="K166" s="1"/>
      <c r="L166" s="1"/>
      <c r="M166" s="1"/>
      <c r="N166" s="1"/>
      <c r="O166" s="1"/>
      <c r="P166" s="1"/>
      <c r="Q166" s="1"/>
      <c r="R166" s="1"/>
      <c r="S166" s="1"/>
    </row>
    <row r="167" spans="1:19" hidden="1">
      <c r="A167" s="226">
        <v>44713</v>
      </c>
      <c r="B167" s="213">
        <v>3</v>
      </c>
      <c r="C167" s="213">
        <v>9.67</v>
      </c>
      <c r="D167" s="213">
        <v>6.84</v>
      </c>
      <c r="E167" s="213">
        <v>21.927710843373504</v>
      </c>
      <c r="F167" s="215">
        <v>4127.47</v>
      </c>
      <c r="G167" s="213">
        <v>9.8704437706798931</v>
      </c>
      <c r="H167" s="214">
        <v>-2.2150943211847074</v>
      </c>
      <c r="J167" s="1"/>
      <c r="K167" s="1"/>
      <c r="L167" s="1"/>
      <c r="M167" s="1"/>
      <c r="N167" s="1"/>
      <c r="O167" s="1"/>
      <c r="P167" s="1"/>
      <c r="Q167" s="1"/>
      <c r="R167" s="1"/>
      <c r="S167" s="1"/>
    </row>
    <row r="168" spans="1:19" hidden="1">
      <c r="A168" s="226">
        <v>44743</v>
      </c>
      <c r="B168" s="213">
        <v>3</v>
      </c>
      <c r="C168" s="213">
        <v>10.210000000000001</v>
      </c>
      <c r="D168" s="213">
        <v>7.29</v>
      </c>
      <c r="E168" s="213">
        <v>23.448126175661987</v>
      </c>
      <c r="F168" s="215">
        <v>4300.3</v>
      </c>
      <c r="G168" s="213">
        <v>11.179767728057755</v>
      </c>
      <c r="H168" s="214">
        <v>1.5503516493108771</v>
      </c>
      <c r="J168" s="1"/>
      <c r="K168" s="1"/>
      <c r="L168" s="1"/>
      <c r="M168" s="1"/>
      <c r="N168" s="1"/>
      <c r="O168" s="1"/>
      <c r="P168" s="1"/>
      <c r="Q168" s="1"/>
      <c r="R168" s="1"/>
      <c r="S168" s="1"/>
    </row>
    <row r="169" spans="1:19" hidden="1">
      <c r="A169" s="226">
        <v>44774</v>
      </c>
      <c r="B169" s="213">
        <v>3</v>
      </c>
      <c r="C169" s="213">
        <v>10.84</v>
      </c>
      <c r="D169" s="213">
        <v>7.83</v>
      </c>
      <c r="E169" s="213">
        <v>21.521163073838</v>
      </c>
      <c r="F169" s="215">
        <v>4400.16</v>
      </c>
      <c r="G169" s="213">
        <v>15.584719205016185</v>
      </c>
      <c r="H169" s="214">
        <v>0.2802065147458066</v>
      </c>
      <c r="J169" s="1"/>
      <c r="K169" s="1"/>
      <c r="L169" s="1"/>
      <c r="M169" s="1"/>
      <c r="N169" s="1"/>
      <c r="O169" s="1"/>
      <c r="P169" s="1"/>
      <c r="Q169" s="1"/>
      <c r="R169" s="1"/>
      <c r="S169" s="1"/>
    </row>
    <row r="170" spans="1:19" ht="16.5" hidden="1" customHeight="1">
      <c r="A170" s="226">
        <v>44805</v>
      </c>
      <c r="B170" s="213">
        <v>3</v>
      </c>
      <c r="C170" s="213">
        <v>11.44</v>
      </c>
      <c r="D170" s="213">
        <v>8.33</v>
      </c>
      <c r="E170" s="213">
        <v>21.369220936013079</v>
      </c>
      <c r="F170" s="215">
        <v>4532.07</v>
      </c>
      <c r="G170" s="213">
        <v>18.190000000000001</v>
      </c>
      <c r="H170" s="214">
        <v>2.1087775255279606</v>
      </c>
      <c r="J170" s="1"/>
      <c r="K170" s="1"/>
      <c r="L170" s="1"/>
      <c r="M170" s="1"/>
      <c r="N170" s="1"/>
      <c r="O170" s="1"/>
      <c r="P170" s="1"/>
      <c r="Q170" s="1"/>
      <c r="R170" s="1"/>
      <c r="S170" s="1"/>
    </row>
    <row r="171" spans="1:19" ht="16.5" hidden="1" customHeight="1">
      <c r="A171" s="226">
        <v>44835</v>
      </c>
      <c r="B171" s="213">
        <v>3</v>
      </c>
      <c r="C171" s="213">
        <v>12.22</v>
      </c>
      <c r="D171" s="213">
        <v>9.15</v>
      </c>
      <c r="E171" s="213">
        <v>22.196556068878603</v>
      </c>
      <c r="F171" s="215">
        <v>4819.42</v>
      </c>
      <c r="G171" s="213">
        <v>27.348299880563577</v>
      </c>
      <c r="H171" s="214">
        <v>5.7115335225939035</v>
      </c>
      <c r="J171" s="1"/>
      <c r="K171" s="1"/>
      <c r="L171" s="1"/>
      <c r="M171" s="1"/>
      <c r="N171" s="1"/>
      <c r="O171" s="1"/>
      <c r="P171" s="1"/>
      <c r="Q171" s="1"/>
      <c r="R171" s="1"/>
      <c r="S171" s="1"/>
    </row>
    <row r="172" spans="1:19" ht="16.5" customHeight="1">
      <c r="A172" s="226">
        <v>44866</v>
      </c>
      <c r="B172" s="213">
        <v>3</v>
      </c>
      <c r="C172" s="213">
        <v>12.53</v>
      </c>
      <c r="D172" s="213">
        <v>9.48</v>
      </c>
      <c r="E172" s="213">
        <v>21.044683917907882</v>
      </c>
      <c r="F172" s="215">
        <v>4809.51</v>
      </c>
      <c r="G172" s="213">
        <v>19.908600890555441</v>
      </c>
      <c r="H172" s="214">
        <v>7.8416919453373479</v>
      </c>
      <c r="J172" s="1"/>
      <c r="K172" s="1"/>
      <c r="L172" s="1"/>
      <c r="M172" s="1"/>
      <c r="N172" s="1"/>
      <c r="O172" s="1"/>
      <c r="P172" s="1"/>
      <c r="Q172" s="1"/>
      <c r="R172" s="1"/>
      <c r="S172" s="1"/>
    </row>
    <row r="173" spans="1:19" ht="16.5" customHeight="1">
      <c r="A173" s="226">
        <v>44896</v>
      </c>
      <c r="B173" s="213">
        <v>3</v>
      </c>
      <c r="C173" s="213">
        <v>13.12</v>
      </c>
      <c r="D173" s="213">
        <v>9.99</v>
      </c>
      <c r="E173" s="213">
        <v>19.17993900372754</v>
      </c>
      <c r="F173" s="215">
        <v>4810.2</v>
      </c>
      <c r="G173" s="213">
        <v>20.824081423504715</v>
      </c>
      <c r="H173" s="214">
        <v>5.1919109367710048</v>
      </c>
      <c r="J173" s="1"/>
      <c r="K173" s="1"/>
      <c r="L173" s="1"/>
      <c r="M173" s="1"/>
      <c r="N173" s="1"/>
      <c r="O173" s="1"/>
      <c r="P173" s="1"/>
      <c r="Q173" s="1"/>
      <c r="R173" s="1"/>
      <c r="S173" s="1"/>
    </row>
    <row r="174" spans="1:19" ht="16.5" customHeight="1">
      <c r="A174" s="226">
        <v>44927</v>
      </c>
      <c r="B174" s="213">
        <v>3</v>
      </c>
      <c r="C174" s="213">
        <v>13.25</v>
      </c>
      <c r="D174" s="213">
        <v>10.43</v>
      </c>
      <c r="E174" s="213">
        <v>16.778567238120079</v>
      </c>
      <c r="F174" s="215">
        <v>4632.2</v>
      </c>
      <c r="G174" s="213">
        <v>16.309999999999999</v>
      </c>
      <c r="H174" s="214">
        <v>3.8933707992013789</v>
      </c>
      <c r="J174" s="1"/>
      <c r="K174" s="1"/>
      <c r="L174" s="1"/>
      <c r="M174" s="1"/>
      <c r="N174" s="1"/>
      <c r="O174" s="1"/>
      <c r="P174" s="1"/>
      <c r="Q174" s="1"/>
      <c r="R174" s="1"/>
      <c r="S174" s="1"/>
    </row>
    <row r="175" spans="1:19" ht="16.5" customHeight="1">
      <c r="A175" s="226">
        <v>44958</v>
      </c>
      <c r="B175" s="213">
        <v>3</v>
      </c>
      <c r="C175" s="213">
        <v>13.28</v>
      </c>
      <c r="D175" s="213">
        <v>10.86</v>
      </c>
      <c r="E175" s="213">
        <v>14.949892173030577</v>
      </c>
      <c r="F175" s="215">
        <v>4808.1400000000003</v>
      </c>
      <c r="G175" s="213">
        <v>22.95</v>
      </c>
      <c r="H175" s="214">
        <v>6.4253463443283865</v>
      </c>
      <c r="L175" s="1"/>
      <c r="M175" s="1"/>
      <c r="N175" s="1"/>
      <c r="O175" s="1"/>
      <c r="P175" s="1"/>
      <c r="Q175" s="1"/>
      <c r="R175" s="1"/>
    </row>
    <row r="176" spans="1:19" ht="16.5" customHeight="1">
      <c r="A176" s="226">
        <v>44986</v>
      </c>
      <c r="B176" s="213">
        <v>3</v>
      </c>
      <c r="C176" s="213">
        <v>13.34</v>
      </c>
      <c r="D176" s="213">
        <v>11.42</v>
      </c>
      <c r="E176" s="213">
        <v>12.42089589279065</v>
      </c>
      <c r="F176" s="215">
        <v>4627.2700000000004</v>
      </c>
      <c r="G176" s="213">
        <v>23.454771020370057</v>
      </c>
      <c r="H176" s="214">
        <v>8.5740329460618945</v>
      </c>
      <c r="L176" s="1"/>
      <c r="M176" s="1"/>
      <c r="N176" s="1"/>
      <c r="O176" s="1"/>
      <c r="P176" s="1"/>
      <c r="Q176" s="1"/>
      <c r="R176" s="1"/>
    </row>
    <row r="177" spans="1:18" ht="16.5" customHeight="1">
      <c r="A177" s="226">
        <v>45017</v>
      </c>
      <c r="B177" s="213">
        <v>3</v>
      </c>
      <c r="C177" s="213">
        <v>12.82</v>
      </c>
      <c r="D177" s="213">
        <v>11.51</v>
      </c>
      <c r="E177" s="213">
        <v>9.3121112330772036</v>
      </c>
      <c r="F177" s="215">
        <v>4669</v>
      </c>
      <c r="G177" s="213">
        <v>17.72</v>
      </c>
      <c r="H177" s="214">
        <v>5.442655616135994</v>
      </c>
      <c r="L177" s="1"/>
      <c r="M177" s="1"/>
      <c r="N177" s="1"/>
      <c r="O177" s="1"/>
      <c r="P177" s="1"/>
      <c r="Q177" s="1"/>
      <c r="R177" s="1"/>
    </row>
    <row r="178" spans="1:18" ht="16.5" customHeight="1">
      <c r="A178" s="226">
        <v>45047</v>
      </c>
      <c r="B178" s="213">
        <v>3</v>
      </c>
      <c r="C178" s="213">
        <v>12.36</v>
      </c>
      <c r="D178" s="213">
        <v>11.59</v>
      </c>
      <c r="E178" s="213">
        <v>6.5821872560206662</v>
      </c>
      <c r="F178" s="215">
        <v>4408.6499999999996</v>
      </c>
      <c r="G178" s="213">
        <v>12.69</v>
      </c>
      <c r="H178" s="214">
        <v>1.1789114051760752</v>
      </c>
      <c r="L178" s="1"/>
      <c r="M178" s="1"/>
      <c r="N178" s="1"/>
      <c r="O178" s="1"/>
      <c r="P178" s="1"/>
      <c r="Q178" s="1"/>
      <c r="R178" s="1"/>
    </row>
    <row r="179" spans="1:18" ht="16.5" customHeight="1">
      <c r="A179" s="226">
        <v>45078</v>
      </c>
      <c r="B179" s="213">
        <v>3</v>
      </c>
      <c r="C179" s="213">
        <v>12.13</v>
      </c>
      <c r="D179" s="213">
        <v>11.62</v>
      </c>
      <c r="E179" s="213">
        <v>4.8029704156186348</v>
      </c>
      <c r="F179" s="215">
        <v>4191.28</v>
      </c>
      <c r="G179" s="213">
        <v>1.55</v>
      </c>
      <c r="H179" s="214">
        <v>-3.5899111637463732</v>
      </c>
      <c r="L179" s="1"/>
      <c r="M179" s="1"/>
      <c r="N179" s="1"/>
      <c r="O179" s="1"/>
      <c r="P179" s="1"/>
      <c r="Q179" s="1"/>
      <c r="R179" s="1"/>
    </row>
    <row r="180" spans="1:18" ht="16.5" customHeight="1">
      <c r="A180" s="226">
        <v>45108</v>
      </c>
      <c r="B180" s="213">
        <v>3</v>
      </c>
      <c r="C180" s="213">
        <v>11.78</v>
      </c>
      <c r="D180" s="213">
        <v>11.44</v>
      </c>
      <c r="E180" s="213">
        <v>1.8167965773896677</v>
      </c>
      <c r="F180" s="215">
        <v>3923.49</v>
      </c>
      <c r="G180" s="213">
        <v>-8.76</v>
      </c>
      <c r="H180" s="214">
        <v>-12.146818713958208</v>
      </c>
      <c r="L180" s="1"/>
      <c r="M180" s="1"/>
      <c r="N180" s="1"/>
      <c r="O180" s="1"/>
      <c r="P180" s="1"/>
      <c r="Q180" s="1"/>
      <c r="R180" s="1"/>
    </row>
    <row r="181" spans="1:18" ht="16.5" customHeight="1">
      <c r="A181" s="226">
        <v>45139</v>
      </c>
      <c r="B181" s="213">
        <v>3</v>
      </c>
      <c r="C181" s="213">
        <v>11.43</v>
      </c>
      <c r="D181" s="213">
        <v>11.19</v>
      </c>
      <c r="E181" s="213">
        <v>3.7187647336162311</v>
      </c>
      <c r="F181" s="215">
        <v>4085.33</v>
      </c>
      <c r="G181" s="213">
        <v>-7.15</v>
      </c>
      <c r="H181" s="214">
        <v>-12.714200196940695</v>
      </c>
      <c r="J181" s="1"/>
      <c r="K181" s="1"/>
      <c r="L181" s="1"/>
      <c r="M181" s="1"/>
      <c r="N181" s="1"/>
      <c r="O181" s="1"/>
      <c r="P181" s="1"/>
      <c r="Q181" s="1"/>
      <c r="R181" s="1"/>
    </row>
    <row r="182" spans="1:18" ht="16.5" customHeight="1">
      <c r="A182" s="226">
        <v>45170</v>
      </c>
      <c r="B182" s="213">
        <v>3</v>
      </c>
      <c r="C182" s="213">
        <v>10.99</v>
      </c>
      <c r="D182" s="213">
        <v>10.88</v>
      </c>
      <c r="E182" s="213">
        <v>3.739028671737854</v>
      </c>
      <c r="F182" s="215">
        <v>4053.76</v>
      </c>
      <c r="G182" s="213">
        <v>-10.553897005121271</v>
      </c>
      <c r="H182" s="214">
        <v>-14.61776420292672</v>
      </c>
      <c r="J182" s="1"/>
      <c r="K182" s="1"/>
      <c r="L182" s="1"/>
      <c r="M182" s="1"/>
      <c r="N182" s="1"/>
      <c r="O182" s="1"/>
      <c r="P182" s="1"/>
      <c r="Q182" s="1"/>
      <c r="R182" s="1"/>
    </row>
    <row r="183" spans="1:18" ht="16.5" customHeight="1">
      <c r="A183" s="226">
        <v>45200</v>
      </c>
      <c r="B183" s="213">
        <v>3</v>
      </c>
      <c r="C183" s="213">
        <v>10.48</v>
      </c>
      <c r="D183" s="213">
        <v>10.51</v>
      </c>
      <c r="E183" s="213">
        <v>1.8</v>
      </c>
      <c r="F183" s="215">
        <v>4060.83</v>
      </c>
      <c r="G183" s="213">
        <v>-15.740275800822513</v>
      </c>
      <c r="H183" s="214">
        <v>-13.297799142093158</v>
      </c>
      <c r="J183" s="1"/>
      <c r="K183" s="1"/>
      <c r="L183" s="1"/>
      <c r="M183" s="1"/>
      <c r="N183" s="1"/>
      <c r="O183" s="1"/>
      <c r="P183" s="1"/>
      <c r="Q183" s="1"/>
      <c r="R183" s="1"/>
    </row>
    <row r="184" spans="1:18" ht="16.5" customHeight="1">
      <c r="A184" s="226">
        <v>45231</v>
      </c>
      <c r="B184" s="213">
        <v>3</v>
      </c>
      <c r="C184" s="213">
        <v>10.15</v>
      </c>
      <c r="D184" s="213">
        <v>10.61</v>
      </c>
      <c r="E184" s="213">
        <v>-0.08</v>
      </c>
      <c r="F184" s="215">
        <v>3980.67</v>
      </c>
      <c r="G184" s="213">
        <v>-17.233356412607527</v>
      </c>
      <c r="H184" s="214"/>
      <c r="J184" s="1"/>
      <c r="K184" s="1"/>
      <c r="L184" s="1"/>
      <c r="M184" s="1"/>
      <c r="N184" s="1"/>
      <c r="O184" s="1"/>
      <c r="P184" s="1"/>
      <c r="Q184" s="1"/>
      <c r="R184" s="1"/>
    </row>
    <row r="185" spans="1:18">
      <c r="A185" s="226"/>
      <c r="B185" s="227"/>
      <c r="C185" s="213"/>
      <c r="D185" s="228"/>
      <c r="E185" s="214"/>
      <c r="F185" s="215"/>
      <c r="G185" s="229" t="s">
        <v>3345</v>
      </c>
      <c r="H185" s="214"/>
    </row>
    <row r="186" spans="1:18" hidden="1">
      <c r="A186" s="230">
        <v>40984</v>
      </c>
      <c r="B186" s="213"/>
      <c r="C186" s="213"/>
      <c r="D186" s="213"/>
      <c r="E186" s="214"/>
      <c r="F186" s="215">
        <v>1761.02</v>
      </c>
      <c r="G186" s="231">
        <v>-6.95</v>
      </c>
      <c r="H186" s="214"/>
      <c r="J186" s="41"/>
    </row>
    <row r="187" spans="1:18" hidden="1">
      <c r="A187" s="230">
        <v>40991</v>
      </c>
      <c r="B187" s="213"/>
      <c r="C187" s="213"/>
      <c r="D187" s="213"/>
      <c r="E187" s="214"/>
      <c r="F187" s="215">
        <v>1761.87</v>
      </c>
      <c r="G187" s="231">
        <v>-5.67</v>
      </c>
      <c r="H187" s="214"/>
      <c r="J187" s="41"/>
    </row>
    <row r="188" spans="1:18" hidden="1">
      <c r="A188" s="230">
        <v>40998</v>
      </c>
      <c r="B188" s="213"/>
      <c r="C188" s="213"/>
      <c r="D188" s="213"/>
      <c r="E188" s="214"/>
      <c r="F188" s="215">
        <v>1784.66</v>
      </c>
      <c r="G188" s="231">
        <v>-5.04</v>
      </c>
      <c r="H188" s="214"/>
      <c r="J188" s="41"/>
    </row>
    <row r="189" spans="1:18" hidden="1">
      <c r="A189" s="230">
        <v>41005</v>
      </c>
      <c r="B189" s="213"/>
      <c r="C189" s="213"/>
      <c r="D189" s="213"/>
      <c r="E189" s="214"/>
      <c r="F189" s="215">
        <v>1772.58</v>
      </c>
      <c r="G189" s="231">
        <v>-2.98</v>
      </c>
      <c r="H189" s="214"/>
      <c r="J189" s="41"/>
    </row>
    <row r="190" spans="1:18" hidden="1">
      <c r="A190" s="230">
        <v>41012</v>
      </c>
      <c r="B190" s="213"/>
      <c r="C190" s="213"/>
      <c r="D190" s="213"/>
      <c r="E190" s="214"/>
      <c r="F190" s="215">
        <v>1778.78</v>
      </c>
      <c r="G190" s="231">
        <v>-2.21</v>
      </c>
      <c r="H190" s="214"/>
      <c r="J190" s="41"/>
    </row>
    <row r="191" spans="1:18" hidden="1">
      <c r="A191" s="230">
        <v>41019</v>
      </c>
      <c r="B191" s="213"/>
      <c r="C191" s="213"/>
      <c r="D191" s="213"/>
      <c r="E191" s="214"/>
      <c r="F191" s="215">
        <v>1776.06</v>
      </c>
      <c r="G191" s="231">
        <v>-0.37</v>
      </c>
      <c r="H191" s="214"/>
      <c r="J191" s="41"/>
    </row>
    <row r="192" spans="1:18" hidden="1">
      <c r="A192" s="230">
        <v>41026</v>
      </c>
      <c r="B192" s="213"/>
      <c r="C192" s="213"/>
      <c r="D192" s="213"/>
      <c r="E192" s="214"/>
      <c r="F192" s="215">
        <v>1764.63</v>
      </c>
      <c r="G192" s="231">
        <v>-1.0900000000000001</v>
      </c>
      <c r="H192" s="214"/>
      <c r="J192" s="41"/>
    </row>
    <row r="193" spans="1:10" hidden="1">
      <c r="A193" s="230">
        <v>41033</v>
      </c>
      <c r="B193" s="213"/>
      <c r="C193" s="213"/>
      <c r="D193" s="213"/>
      <c r="E193" s="214"/>
      <c r="F193" s="215">
        <v>1754.89</v>
      </c>
      <c r="G193" s="231">
        <v>-0.49</v>
      </c>
      <c r="H193" s="214"/>
      <c r="J193" s="41"/>
    </row>
    <row r="194" spans="1:10" hidden="1">
      <c r="A194" s="230">
        <v>41040</v>
      </c>
      <c r="B194" s="213"/>
      <c r="C194" s="213"/>
      <c r="D194" s="213"/>
      <c r="E194" s="214"/>
      <c r="F194" s="215">
        <v>1765</v>
      </c>
      <c r="G194" s="231">
        <v>-1.87</v>
      </c>
      <c r="H194" s="214"/>
      <c r="J194" s="41"/>
    </row>
    <row r="195" spans="1:10" hidden="1">
      <c r="A195" s="230">
        <v>41047</v>
      </c>
      <c r="B195" s="213"/>
      <c r="C195" s="213"/>
      <c r="D195" s="213"/>
      <c r="E195" s="214"/>
      <c r="F195" s="215">
        <v>1804.92</v>
      </c>
      <c r="G195" s="231">
        <v>-1.08</v>
      </c>
      <c r="H195" s="214"/>
      <c r="J195" s="41"/>
    </row>
    <row r="196" spans="1:10" hidden="1">
      <c r="A196" s="230">
        <v>41054</v>
      </c>
      <c r="B196" s="213"/>
      <c r="C196" s="213"/>
      <c r="D196" s="213"/>
      <c r="E196" s="214"/>
      <c r="F196" s="215">
        <v>1836.45</v>
      </c>
      <c r="G196" s="231">
        <v>0.27</v>
      </c>
      <c r="H196" s="214"/>
      <c r="J196" s="41"/>
    </row>
    <row r="197" spans="1:10" hidden="1">
      <c r="A197" s="230">
        <v>41061</v>
      </c>
      <c r="B197" s="213"/>
      <c r="C197" s="213"/>
      <c r="D197" s="213"/>
      <c r="E197" s="214"/>
      <c r="F197" s="215">
        <v>1833.8</v>
      </c>
      <c r="G197" s="231">
        <v>2.48</v>
      </c>
      <c r="H197" s="214"/>
      <c r="J197" s="41"/>
    </row>
    <row r="198" spans="1:10" hidden="1">
      <c r="A198" s="230">
        <v>41068</v>
      </c>
      <c r="B198" s="213"/>
      <c r="C198" s="213"/>
      <c r="D198" s="213"/>
      <c r="E198" s="214"/>
      <c r="F198" s="215">
        <v>1766.91</v>
      </c>
      <c r="G198" s="231">
        <v>-0.16</v>
      </c>
      <c r="H198" s="214"/>
      <c r="J198" s="41"/>
    </row>
    <row r="199" spans="1:10" hidden="1">
      <c r="A199" s="230">
        <v>41075</v>
      </c>
      <c r="B199" s="213"/>
      <c r="C199" s="213"/>
      <c r="D199" s="213"/>
      <c r="E199" s="214"/>
      <c r="F199" s="215">
        <v>1787.63</v>
      </c>
      <c r="G199" s="231">
        <v>0.35</v>
      </c>
      <c r="H199" s="214"/>
      <c r="J199" s="41"/>
    </row>
    <row r="200" spans="1:10" hidden="1">
      <c r="A200" s="232">
        <v>41082</v>
      </c>
      <c r="B200" s="213"/>
      <c r="C200" s="213"/>
      <c r="D200" s="213"/>
      <c r="E200" s="214"/>
      <c r="F200" s="215">
        <v>1775.99</v>
      </c>
      <c r="G200" s="231">
        <v>-0.17</v>
      </c>
      <c r="H200" s="214"/>
      <c r="J200" s="41"/>
    </row>
    <row r="201" spans="1:10" hidden="1">
      <c r="A201" s="232">
        <v>41089</v>
      </c>
      <c r="B201" s="213"/>
      <c r="C201" s="213"/>
      <c r="D201" s="213"/>
      <c r="E201" s="214"/>
      <c r="F201" s="215">
        <v>1805.6</v>
      </c>
      <c r="G201" s="231">
        <v>1.43</v>
      </c>
      <c r="H201" s="214"/>
      <c r="J201" s="41"/>
    </row>
    <row r="202" spans="1:10" hidden="1">
      <c r="A202" s="230">
        <v>41096</v>
      </c>
      <c r="B202" s="213"/>
      <c r="C202" s="213"/>
      <c r="D202" s="213"/>
      <c r="E202" s="214"/>
      <c r="F202" s="215">
        <v>1774.37</v>
      </c>
      <c r="G202" s="231">
        <v>0.39</v>
      </c>
      <c r="H202" s="214"/>
      <c r="J202" s="41"/>
    </row>
    <row r="203" spans="1:10" hidden="1">
      <c r="A203" s="230">
        <v>41103</v>
      </c>
      <c r="B203" s="213"/>
      <c r="C203" s="213"/>
      <c r="D203" s="213"/>
      <c r="E203" s="214"/>
      <c r="F203" s="215">
        <v>1790.12</v>
      </c>
      <c r="G203" s="231">
        <v>1.81</v>
      </c>
      <c r="H203" s="214"/>
      <c r="J203" s="41"/>
    </row>
    <row r="204" spans="1:10" hidden="1">
      <c r="A204" s="230">
        <v>41110</v>
      </c>
      <c r="B204" s="213"/>
      <c r="C204" s="213"/>
      <c r="D204" s="213"/>
      <c r="E204" s="214"/>
      <c r="F204" s="215">
        <v>1775.8</v>
      </c>
      <c r="G204" s="231">
        <v>1.0418266960267264</v>
      </c>
      <c r="H204" s="214"/>
      <c r="J204" s="41"/>
    </row>
    <row r="205" spans="1:10" hidden="1">
      <c r="A205" s="230">
        <v>41117</v>
      </c>
      <c r="B205" s="213"/>
      <c r="C205" s="213"/>
      <c r="D205" s="213"/>
      <c r="E205" s="214"/>
      <c r="F205" s="215">
        <v>1789.22</v>
      </c>
      <c r="G205" s="231">
        <v>1.38</v>
      </c>
      <c r="H205" s="214"/>
      <c r="J205" s="41"/>
    </row>
    <row r="206" spans="1:10" hidden="1">
      <c r="A206" s="230">
        <v>41124</v>
      </c>
      <c r="B206" s="213"/>
      <c r="C206" s="213"/>
      <c r="D206" s="213"/>
      <c r="E206" s="214"/>
      <c r="F206" s="215">
        <v>1790.97</v>
      </c>
      <c r="G206" s="231">
        <v>1.04</v>
      </c>
      <c r="H206" s="214"/>
      <c r="J206" s="41"/>
    </row>
    <row r="207" spans="1:10" hidden="1">
      <c r="A207" s="230">
        <v>41131</v>
      </c>
      <c r="B207" s="213"/>
      <c r="C207" s="213"/>
      <c r="D207" s="213"/>
      <c r="E207" s="214"/>
      <c r="F207" s="215">
        <v>1788.08</v>
      </c>
      <c r="G207" s="231">
        <v>-0.72</v>
      </c>
      <c r="H207" s="214"/>
      <c r="J207" s="41"/>
    </row>
    <row r="208" spans="1:10" hidden="1">
      <c r="A208" s="230">
        <v>41138</v>
      </c>
      <c r="B208" s="213"/>
      <c r="C208" s="213"/>
      <c r="D208" s="213"/>
      <c r="E208" s="214"/>
      <c r="F208" s="215">
        <v>1825.52</v>
      </c>
      <c r="G208" s="231">
        <v>3.29</v>
      </c>
      <c r="H208" s="214"/>
      <c r="J208" s="41"/>
    </row>
    <row r="209" spans="1:10" hidden="1">
      <c r="A209" s="230">
        <v>41145</v>
      </c>
      <c r="B209" s="213"/>
      <c r="C209" s="213"/>
      <c r="D209" s="213"/>
      <c r="E209" s="214"/>
      <c r="F209" s="215">
        <v>1808.33</v>
      </c>
      <c r="G209" s="231">
        <v>0.93</v>
      </c>
      <c r="H209" s="214"/>
      <c r="J209" s="41"/>
    </row>
    <row r="210" spans="1:10" hidden="1">
      <c r="A210" s="230">
        <v>41152</v>
      </c>
      <c r="B210" s="213"/>
      <c r="C210" s="213"/>
      <c r="D210" s="213"/>
      <c r="E210" s="214"/>
      <c r="F210" s="215">
        <v>1830.5</v>
      </c>
      <c r="G210" s="231">
        <v>2.82</v>
      </c>
      <c r="H210" s="214"/>
      <c r="J210" s="41"/>
    </row>
    <row r="211" spans="1:10" hidden="1">
      <c r="A211" s="230">
        <v>41159</v>
      </c>
      <c r="B211" s="213"/>
      <c r="C211" s="213"/>
      <c r="D211" s="213"/>
      <c r="E211" s="214"/>
      <c r="F211" s="215">
        <v>1804.09</v>
      </c>
      <c r="G211" s="231">
        <v>0.83</v>
      </c>
      <c r="H211" s="214"/>
      <c r="J211" s="41"/>
    </row>
    <row r="212" spans="1:10" hidden="1">
      <c r="A212" s="230">
        <v>41166</v>
      </c>
      <c r="B212" s="213"/>
      <c r="C212" s="213"/>
      <c r="D212" s="213"/>
      <c r="E212" s="214"/>
      <c r="F212" s="215">
        <v>1799.57</v>
      </c>
      <c r="G212" s="231">
        <v>-1.35</v>
      </c>
      <c r="H212" s="214"/>
      <c r="J212" s="41"/>
    </row>
    <row r="213" spans="1:10" hidden="1">
      <c r="A213" s="230">
        <v>41173</v>
      </c>
      <c r="B213" s="213"/>
      <c r="C213" s="213"/>
      <c r="D213" s="213"/>
      <c r="E213" s="214"/>
      <c r="F213" s="215">
        <v>1798.98</v>
      </c>
      <c r="G213" s="231">
        <v>-4.42</v>
      </c>
      <c r="H213" s="214"/>
      <c r="J213" s="41"/>
    </row>
    <row r="214" spans="1:10" hidden="1">
      <c r="A214" s="230">
        <v>41180</v>
      </c>
      <c r="B214" s="213"/>
      <c r="C214" s="213"/>
      <c r="D214" s="213"/>
      <c r="E214" s="214"/>
      <c r="F214" s="215">
        <v>1798.08</v>
      </c>
      <c r="G214" s="231">
        <v>-5.75</v>
      </c>
      <c r="H214" s="214"/>
      <c r="J214" s="41"/>
    </row>
    <row r="215" spans="1:10" hidden="1">
      <c r="A215" s="230">
        <v>41187</v>
      </c>
      <c r="B215" s="213"/>
      <c r="C215" s="213"/>
      <c r="D215" s="213"/>
      <c r="E215" s="214"/>
      <c r="F215" s="215">
        <v>1797.68</v>
      </c>
      <c r="G215" s="231">
        <v>-8.6300000000000008</v>
      </c>
      <c r="H215" s="214"/>
      <c r="J215" s="41"/>
    </row>
    <row r="216" spans="1:10" hidden="1">
      <c r="A216" s="230">
        <v>41194</v>
      </c>
      <c r="B216" s="213"/>
      <c r="C216" s="213"/>
      <c r="D216" s="213"/>
      <c r="E216" s="214"/>
      <c r="F216" s="215">
        <v>1797.68</v>
      </c>
      <c r="G216" s="231">
        <v>-5.22</v>
      </c>
      <c r="H216" s="214"/>
      <c r="J216" s="41"/>
    </row>
    <row r="217" spans="1:10" hidden="1">
      <c r="A217" s="230">
        <v>41201</v>
      </c>
      <c r="B217" s="213"/>
      <c r="C217" s="213"/>
      <c r="D217" s="213"/>
      <c r="E217" s="214"/>
      <c r="F217" s="215">
        <v>1797.66</v>
      </c>
      <c r="G217" s="231">
        <v>-5.39</v>
      </c>
      <c r="H217" s="214"/>
      <c r="J217" s="41"/>
    </row>
    <row r="218" spans="1:10" hidden="1">
      <c r="A218" s="230">
        <v>41208</v>
      </c>
      <c r="B218" s="213"/>
      <c r="C218" s="213"/>
      <c r="D218" s="213"/>
      <c r="E218" s="214"/>
      <c r="F218" s="215">
        <v>1816.97</v>
      </c>
      <c r="G218" s="231">
        <v>-3.25</v>
      </c>
      <c r="H218" s="214"/>
      <c r="J218" s="41"/>
    </row>
    <row r="219" spans="1:10" hidden="1">
      <c r="A219" s="230">
        <v>41215</v>
      </c>
      <c r="B219" s="213"/>
      <c r="C219" s="213"/>
      <c r="D219" s="213"/>
      <c r="E219" s="214"/>
      <c r="F219" s="215">
        <v>1825.5</v>
      </c>
      <c r="G219" s="231">
        <v>-3.4</v>
      </c>
      <c r="H219" s="214"/>
      <c r="J219" s="41"/>
    </row>
    <row r="220" spans="1:10" hidden="1">
      <c r="A220" s="230">
        <v>41222</v>
      </c>
      <c r="B220" s="213"/>
      <c r="C220" s="213"/>
      <c r="D220" s="213"/>
      <c r="E220" s="214"/>
      <c r="F220" s="215">
        <v>1814.21</v>
      </c>
      <c r="G220" s="231">
        <v>-5.4</v>
      </c>
      <c r="H220" s="214"/>
      <c r="J220" s="41"/>
    </row>
    <row r="221" spans="1:10" hidden="1">
      <c r="A221" s="230">
        <v>41229</v>
      </c>
      <c r="B221" s="213"/>
      <c r="C221" s="213"/>
      <c r="D221" s="213"/>
      <c r="E221" s="214"/>
      <c r="F221" s="215">
        <v>1822.61</v>
      </c>
      <c r="G221" s="231">
        <v>-4.6900000000000004</v>
      </c>
      <c r="H221" s="214"/>
      <c r="J221" s="41"/>
    </row>
    <row r="222" spans="1:10" hidden="1">
      <c r="A222" s="230">
        <v>41236</v>
      </c>
      <c r="B222" s="213"/>
      <c r="C222" s="213"/>
      <c r="D222" s="213"/>
      <c r="E222" s="214"/>
      <c r="F222" s="215">
        <v>1815.76</v>
      </c>
      <c r="G222" s="231">
        <v>-6.05</v>
      </c>
      <c r="H222" s="214"/>
      <c r="J222" s="41"/>
    </row>
    <row r="223" spans="1:10" hidden="1">
      <c r="A223" s="230">
        <v>41243</v>
      </c>
      <c r="B223" s="213"/>
      <c r="C223" s="213"/>
      <c r="D223" s="213"/>
      <c r="E223" s="214"/>
      <c r="F223" s="215">
        <v>1817.93</v>
      </c>
      <c r="G223" s="231">
        <v>-6.7</v>
      </c>
      <c r="H223" s="214"/>
      <c r="J223" s="41"/>
    </row>
    <row r="224" spans="1:10" hidden="1">
      <c r="A224" s="230">
        <v>41250</v>
      </c>
      <c r="B224" s="213"/>
      <c r="C224" s="213"/>
      <c r="D224" s="213"/>
      <c r="E224" s="214"/>
      <c r="F224" s="215">
        <v>1803.69</v>
      </c>
      <c r="G224" s="231">
        <v>-6.57</v>
      </c>
      <c r="H224" s="214"/>
      <c r="J224" s="41"/>
    </row>
    <row r="225" spans="1:10" hidden="1">
      <c r="A225" s="230">
        <v>41257</v>
      </c>
      <c r="B225" s="213"/>
      <c r="C225" s="213"/>
      <c r="D225" s="213"/>
      <c r="E225" s="214"/>
      <c r="F225" s="215">
        <v>1795.05</v>
      </c>
      <c r="G225" s="231">
        <v>-7.36</v>
      </c>
      <c r="H225" s="214"/>
      <c r="J225" s="41"/>
    </row>
    <row r="226" spans="1:10" hidden="1">
      <c r="A226" s="230">
        <v>41264</v>
      </c>
      <c r="B226" s="213"/>
      <c r="C226" s="213"/>
      <c r="D226" s="213"/>
      <c r="E226" s="214"/>
      <c r="F226" s="215">
        <v>1788.87</v>
      </c>
      <c r="G226" s="231">
        <v>-7.59</v>
      </c>
      <c r="H226" s="214"/>
      <c r="J226" s="41"/>
    </row>
    <row r="227" spans="1:10" hidden="1">
      <c r="A227" s="230">
        <v>41271</v>
      </c>
      <c r="B227" s="213"/>
      <c r="C227" s="213"/>
      <c r="D227" s="213"/>
      <c r="E227" s="214"/>
      <c r="F227" s="215">
        <v>1771.54</v>
      </c>
      <c r="G227" s="231">
        <v>-8.61</v>
      </c>
      <c r="H227" s="214"/>
      <c r="J227" s="41"/>
    </row>
    <row r="228" spans="1:10" hidden="1">
      <c r="A228" s="230">
        <v>41278</v>
      </c>
      <c r="B228" s="213"/>
      <c r="C228" s="213"/>
      <c r="D228" s="213"/>
      <c r="E228" s="214"/>
      <c r="F228" s="215">
        <v>1760.83</v>
      </c>
      <c r="G228" s="231">
        <v>-7.24</v>
      </c>
      <c r="H228" s="214"/>
      <c r="J228" s="41"/>
    </row>
    <row r="229" spans="1:10" hidden="1">
      <c r="A229" s="230">
        <v>41285</v>
      </c>
      <c r="B229" s="213"/>
      <c r="C229" s="213"/>
      <c r="D229" s="213"/>
      <c r="E229" s="214"/>
      <c r="F229" s="215">
        <v>1761.5</v>
      </c>
      <c r="G229" s="231">
        <v>-5</v>
      </c>
      <c r="H229" s="214"/>
      <c r="J229" s="41"/>
    </row>
    <row r="230" spans="1:10" hidden="1">
      <c r="A230" s="230">
        <v>41292</v>
      </c>
      <c r="B230" s="213"/>
      <c r="C230" s="213"/>
      <c r="D230" s="213"/>
      <c r="E230" s="214"/>
      <c r="F230" s="215">
        <v>1767.78</v>
      </c>
      <c r="G230" s="231">
        <v>-3.25</v>
      </c>
      <c r="H230" s="214"/>
      <c r="J230" s="41"/>
    </row>
    <row r="231" spans="1:10" hidden="1">
      <c r="A231" s="230">
        <v>41299</v>
      </c>
      <c r="B231" s="213"/>
      <c r="C231" s="213"/>
      <c r="D231" s="213"/>
      <c r="E231" s="214"/>
      <c r="F231" s="215">
        <v>1779.73</v>
      </c>
      <c r="G231" s="231">
        <v>-1.93</v>
      </c>
      <c r="H231" s="214"/>
      <c r="J231" s="41"/>
    </row>
    <row r="232" spans="1:10" hidden="1">
      <c r="A232" s="230">
        <v>41306</v>
      </c>
      <c r="B232" s="213"/>
      <c r="C232" s="213"/>
      <c r="D232" s="213"/>
      <c r="E232" s="214"/>
      <c r="F232" s="215">
        <v>1775.65</v>
      </c>
      <c r="G232" s="231">
        <v>-1.23</v>
      </c>
      <c r="H232" s="214"/>
      <c r="J232" s="41"/>
    </row>
    <row r="233" spans="1:10" hidden="1">
      <c r="A233" s="230">
        <v>41313</v>
      </c>
      <c r="B233" s="213"/>
      <c r="C233" s="213"/>
      <c r="D233" s="213"/>
      <c r="E233" s="214"/>
      <c r="F233" s="215">
        <v>1795.21</v>
      </c>
      <c r="G233" s="231">
        <v>0.92</v>
      </c>
      <c r="H233" s="214"/>
      <c r="J233" s="41"/>
    </row>
    <row r="234" spans="1:10" hidden="1">
      <c r="A234" s="230">
        <v>41320</v>
      </c>
      <c r="B234" s="213"/>
      <c r="C234" s="213"/>
      <c r="D234" s="213"/>
      <c r="E234" s="214"/>
      <c r="F234" s="215">
        <v>1783.19</v>
      </c>
      <c r="G234" s="231">
        <v>-0.45</v>
      </c>
      <c r="H234" s="214"/>
      <c r="J234" s="41"/>
    </row>
    <row r="235" spans="1:10" hidden="1">
      <c r="A235" s="230">
        <v>41327</v>
      </c>
      <c r="B235" s="213"/>
      <c r="C235" s="213"/>
      <c r="D235" s="213"/>
      <c r="E235" s="214"/>
      <c r="F235" s="215">
        <v>1798.21</v>
      </c>
      <c r="G235" s="231">
        <v>0.93</v>
      </c>
      <c r="H235" s="214"/>
      <c r="J235" s="41"/>
    </row>
    <row r="236" spans="1:10" hidden="1">
      <c r="A236" s="230">
        <v>41334</v>
      </c>
      <c r="B236" s="213"/>
      <c r="C236" s="213"/>
      <c r="D236" s="213"/>
      <c r="E236" s="214"/>
      <c r="F236" s="215">
        <v>1814.28</v>
      </c>
      <c r="G236" s="231">
        <v>2.68</v>
      </c>
      <c r="H236" s="214"/>
      <c r="J236" s="41"/>
    </row>
    <row r="237" spans="1:10" hidden="1">
      <c r="A237" s="230">
        <v>41341</v>
      </c>
      <c r="B237" s="213"/>
      <c r="C237" s="213"/>
      <c r="D237" s="213"/>
      <c r="E237" s="214"/>
      <c r="F237" s="215">
        <v>1803.65</v>
      </c>
      <c r="G237" s="231">
        <v>1.68</v>
      </c>
      <c r="H237" s="214"/>
      <c r="J237" s="41"/>
    </row>
    <row r="238" spans="1:10" hidden="1">
      <c r="A238" s="230">
        <v>41348</v>
      </c>
      <c r="B238" s="213"/>
      <c r="C238" s="213"/>
      <c r="D238" s="213"/>
      <c r="E238" s="214"/>
      <c r="F238" s="215">
        <v>1797.28</v>
      </c>
      <c r="G238" s="231">
        <v>2.06</v>
      </c>
      <c r="H238" s="214"/>
      <c r="J238" s="41"/>
    </row>
    <row r="239" spans="1:10" hidden="1">
      <c r="A239" s="230">
        <v>41355</v>
      </c>
      <c r="B239" s="213"/>
      <c r="C239" s="213"/>
      <c r="D239" s="213"/>
      <c r="E239" s="214"/>
      <c r="F239" s="215">
        <v>1822.78</v>
      </c>
      <c r="G239" s="231">
        <v>3.68</v>
      </c>
      <c r="H239" s="214"/>
      <c r="J239" s="41"/>
    </row>
    <row r="240" spans="1:10" hidden="1">
      <c r="A240" s="230">
        <v>41362</v>
      </c>
      <c r="B240" s="213"/>
      <c r="C240" s="213"/>
      <c r="D240" s="213"/>
      <c r="E240" s="214"/>
      <c r="F240" s="215">
        <v>1832.2</v>
      </c>
      <c r="G240" s="231">
        <v>3.44</v>
      </c>
      <c r="H240" s="214"/>
      <c r="J240" s="41"/>
    </row>
    <row r="241" spans="1:10" hidden="1">
      <c r="A241" s="230">
        <v>41369</v>
      </c>
      <c r="B241" s="213"/>
      <c r="C241" s="213"/>
      <c r="D241" s="213"/>
      <c r="E241" s="214"/>
      <c r="F241" s="215">
        <v>1829.01</v>
      </c>
      <c r="G241" s="231">
        <v>3.18</v>
      </c>
      <c r="H241" s="214"/>
      <c r="J241" s="41"/>
    </row>
    <row r="242" spans="1:10" hidden="1">
      <c r="A242" s="230">
        <v>41376</v>
      </c>
      <c r="B242" s="213"/>
      <c r="C242" s="213"/>
      <c r="D242" s="213"/>
      <c r="E242" s="214"/>
      <c r="F242" s="215">
        <v>1823.84</v>
      </c>
      <c r="G242" s="231">
        <v>2.02</v>
      </c>
      <c r="H242" s="214"/>
      <c r="J242" s="41"/>
    </row>
    <row r="243" spans="1:10" hidden="1">
      <c r="A243" s="230">
        <v>41383</v>
      </c>
      <c r="B243" s="213"/>
      <c r="C243" s="213"/>
      <c r="D243" s="213"/>
      <c r="E243" s="214"/>
      <c r="F243" s="215">
        <v>1847.02</v>
      </c>
      <c r="G243" s="231">
        <v>4.0999999999999996</v>
      </c>
      <c r="H243" s="214"/>
      <c r="J243" s="41"/>
    </row>
    <row r="244" spans="1:10" hidden="1">
      <c r="A244" s="230">
        <v>41390</v>
      </c>
      <c r="B244" s="213"/>
      <c r="C244" s="213"/>
      <c r="D244" s="213"/>
      <c r="E244" s="214"/>
      <c r="F244" s="215">
        <v>1830.84</v>
      </c>
      <c r="G244" s="231">
        <v>3.8</v>
      </c>
      <c r="H244" s="214"/>
      <c r="J244" s="41"/>
    </row>
    <row r="245" spans="1:10" hidden="1">
      <c r="A245" s="230">
        <v>41397</v>
      </c>
      <c r="B245" s="213"/>
      <c r="C245" s="213"/>
      <c r="D245" s="213"/>
      <c r="E245" s="214"/>
      <c r="F245" s="215">
        <v>1836.34</v>
      </c>
      <c r="G245" s="231">
        <v>4.33</v>
      </c>
      <c r="H245" s="214"/>
      <c r="J245" s="41"/>
    </row>
    <row r="246" spans="1:10" hidden="1">
      <c r="A246" s="230">
        <v>41404</v>
      </c>
      <c r="B246" s="213"/>
      <c r="C246" s="213"/>
      <c r="D246" s="213"/>
      <c r="E246" s="214"/>
      <c r="F246" s="215">
        <v>1833.07</v>
      </c>
      <c r="G246" s="231">
        <v>3.22</v>
      </c>
      <c r="H246" s="214"/>
      <c r="J246" s="41"/>
    </row>
    <row r="247" spans="1:10" hidden="1">
      <c r="A247" s="230">
        <v>41411</v>
      </c>
      <c r="B247" s="213"/>
      <c r="C247" s="213"/>
      <c r="D247" s="213"/>
      <c r="E247" s="214"/>
      <c r="F247" s="215">
        <v>1838.82</v>
      </c>
      <c r="G247" s="231">
        <v>2.52</v>
      </c>
      <c r="H247" s="214"/>
      <c r="J247" s="41"/>
    </row>
    <row r="248" spans="1:10" hidden="1">
      <c r="A248" s="230">
        <v>41418</v>
      </c>
      <c r="B248" s="213"/>
      <c r="C248" s="213"/>
      <c r="D248" s="213"/>
      <c r="E248" s="214"/>
      <c r="F248" s="215">
        <v>1864.0229999999999</v>
      </c>
      <c r="G248" s="231">
        <v>1.02</v>
      </c>
      <c r="H248" s="214"/>
      <c r="J248" s="41"/>
    </row>
    <row r="249" spans="1:10" hidden="1">
      <c r="A249" s="230">
        <v>41425</v>
      </c>
      <c r="B249" s="213"/>
      <c r="C249" s="213"/>
      <c r="D249" s="213"/>
      <c r="E249" s="214"/>
      <c r="F249" s="215">
        <v>1891.48</v>
      </c>
      <c r="G249" s="231">
        <v>3.48</v>
      </c>
      <c r="H249" s="214"/>
      <c r="J249" s="41"/>
    </row>
    <row r="250" spans="1:10" hidden="1">
      <c r="A250" s="230">
        <v>41432</v>
      </c>
      <c r="B250" s="213"/>
      <c r="C250" s="213"/>
      <c r="D250" s="213"/>
      <c r="E250" s="214"/>
      <c r="F250" s="215">
        <v>1907.88</v>
      </c>
      <c r="G250" s="231">
        <v>7.01</v>
      </c>
      <c r="H250" s="214"/>
      <c r="J250" s="41"/>
    </row>
    <row r="251" spans="1:10" hidden="1">
      <c r="A251" s="230">
        <v>41439</v>
      </c>
      <c r="B251" s="213"/>
      <c r="C251" s="213"/>
      <c r="D251" s="213"/>
      <c r="E251" s="214"/>
      <c r="F251" s="215">
        <v>1895.01</v>
      </c>
      <c r="G251" s="231">
        <v>6.26</v>
      </c>
      <c r="H251" s="214"/>
      <c r="J251" s="41"/>
    </row>
    <row r="252" spans="1:10" hidden="1">
      <c r="A252" s="230">
        <v>41446</v>
      </c>
      <c r="B252" s="213"/>
      <c r="C252" s="213"/>
      <c r="D252" s="213"/>
      <c r="E252" s="214"/>
      <c r="F252" s="215">
        <v>1937.26</v>
      </c>
      <c r="G252" s="231">
        <v>9.43</v>
      </c>
      <c r="H252" s="214"/>
      <c r="J252" s="41"/>
    </row>
    <row r="253" spans="1:10" hidden="1">
      <c r="A253" s="230">
        <v>41453</v>
      </c>
      <c r="B253" s="213"/>
      <c r="C253" s="213"/>
      <c r="D253" s="213"/>
      <c r="E253" s="214"/>
      <c r="F253" s="215">
        <v>1922.63</v>
      </c>
      <c r="G253" s="231">
        <v>7.04</v>
      </c>
      <c r="H253" s="214"/>
      <c r="J253" s="41"/>
    </row>
    <row r="254" spans="1:10" hidden="1">
      <c r="A254" s="230">
        <v>41460</v>
      </c>
      <c r="B254" s="213"/>
      <c r="C254" s="213"/>
      <c r="D254" s="213"/>
      <c r="E254" s="214"/>
      <c r="F254" s="215">
        <v>1915.45</v>
      </c>
      <c r="G254" s="231">
        <v>8.1199999999999992</v>
      </c>
      <c r="H254" s="214"/>
      <c r="J254" s="41"/>
    </row>
    <row r="255" spans="1:10" hidden="1">
      <c r="A255" s="230">
        <v>41467</v>
      </c>
      <c r="B255" s="213"/>
      <c r="C255" s="213"/>
      <c r="D255" s="213"/>
      <c r="E255" s="214"/>
      <c r="F255" s="215">
        <v>1910.79</v>
      </c>
      <c r="G255" s="231">
        <v>6.88</v>
      </c>
      <c r="H255" s="214"/>
      <c r="J255" s="41"/>
    </row>
    <row r="256" spans="1:10" hidden="1">
      <c r="A256" s="230">
        <v>41474</v>
      </c>
      <c r="B256" s="213"/>
      <c r="C256" s="213"/>
      <c r="D256" s="213"/>
      <c r="E256" s="214"/>
      <c r="F256" s="215">
        <v>1883.29</v>
      </c>
      <c r="G256" s="231">
        <v>5.91</v>
      </c>
      <c r="H256" s="214"/>
      <c r="J256" s="41"/>
    </row>
    <row r="257" spans="1:10" hidden="1">
      <c r="A257" s="230">
        <v>41481</v>
      </c>
      <c r="B257" s="213"/>
      <c r="C257" s="213"/>
      <c r="D257" s="213"/>
      <c r="E257" s="214"/>
      <c r="F257" s="215">
        <v>1887.4</v>
      </c>
      <c r="G257" s="231">
        <v>4.8899999999999997</v>
      </c>
      <c r="H257" s="214"/>
      <c r="J257" s="41"/>
    </row>
    <row r="258" spans="1:10" hidden="1">
      <c r="A258" s="230">
        <v>41488</v>
      </c>
      <c r="B258" s="213"/>
      <c r="C258" s="213"/>
      <c r="D258" s="213"/>
      <c r="E258" s="214"/>
      <c r="F258" s="215">
        <v>1896.65</v>
      </c>
      <c r="G258" s="231">
        <v>6.11</v>
      </c>
      <c r="H258" s="214"/>
      <c r="J258" s="41"/>
    </row>
    <row r="259" spans="1:10" hidden="1">
      <c r="A259" s="230">
        <v>41495</v>
      </c>
      <c r="B259" s="213"/>
      <c r="C259" s="213"/>
      <c r="D259" s="213"/>
      <c r="E259" s="214"/>
      <c r="F259" s="215">
        <v>1877.23</v>
      </c>
      <c r="G259" s="231">
        <v>4.99</v>
      </c>
      <c r="H259" s="214"/>
      <c r="J259" s="41"/>
    </row>
    <row r="260" spans="1:10" hidden="1">
      <c r="A260" s="230">
        <v>41502</v>
      </c>
      <c r="B260" s="213"/>
      <c r="C260" s="213"/>
      <c r="D260" s="213"/>
      <c r="E260" s="214"/>
      <c r="F260" s="215">
        <v>1901.03</v>
      </c>
      <c r="G260" s="231">
        <v>4.6100000000000003</v>
      </c>
      <c r="H260" s="214"/>
      <c r="J260" s="41"/>
    </row>
    <row r="261" spans="1:10" hidden="1">
      <c r="A261" s="230">
        <v>41509</v>
      </c>
      <c r="B261" s="213"/>
      <c r="C261" s="213"/>
      <c r="D261" s="213"/>
      <c r="E261" s="214"/>
      <c r="F261" s="215">
        <v>1921.99</v>
      </c>
      <c r="G261" s="231">
        <v>6.02</v>
      </c>
      <c r="H261" s="214"/>
      <c r="J261" s="41"/>
    </row>
    <row r="262" spans="1:10" hidden="1">
      <c r="A262" s="232">
        <v>41516</v>
      </c>
      <c r="B262" s="213"/>
      <c r="C262" s="213"/>
      <c r="D262" s="213"/>
      <c r="E262" s="214"/>
      <c r="F262" s="215">
        <v>1943.04</v>
      </c>
      <c r="G262" s="231">
        <v>6</v>
      </c>
      <c r="H262" s="214"/>
      <c r="J262" s="41"/>
    </row>
    <row r="263" spans="1:10" hidden="1">
      <c r="A263" s="230">
        <v>41523</v>
      </c>
      <c r="B263" s="213"/>
      <c r="C263" s="213"/>
      <c r="D263" s="213"/>
      <c r="E263" s="214"/>
      <c r="F263" s="215">
        <v>1952.11</v>
      </c>
      <c r="G263" s="231">
        <v>7.61</v>
      </c>
      <c r="H263" s="214"/>
      <c r="J263" s="41"/>
    </row>
    <row r="264" spans="1:10" hidden="1">
      <c r="A264" s="230">
        <v>41530</v>
      </c>
      <c r="B264" s="213"/>
      <c r="C264" s="213"/>
      <c r="D264" s="213"/>
      <c r="E264" s="214"/>
      <c r="F264" s="215">
        <v>1919.25</v>
      </c>
      <c r="G264" s="231">
        <v>6.49</v>
      </c>
      <c r="H264" s="214"/>
      <c r="J264" s="41"/>
    </row>
    <row r="265" spans="1:10" hidden="1">
      <c r="A265" s="230">
        <v>41537</v>
      </c>
      <c r="B265" s="213"/>
      <c r="C265" s="213"/>
      <c r="D265" s="213"/>
      <c r="E265" s="214"/>
      <c r="F265" s="215">
        <v>1887.3</v>
      </c>
      <c r="G265" s="231">
        <v>5.0999999999999996</v>
      </c>
      <c r="H265" s="214"/>
      <c r="J265" s="41"/>
    </row>
    <row r="266" spans="1:10" hidden="1">
      <c r="A266" s="230">
        <v>41544</v>
      </c>
      <c r="B266" s="213"/>
      <c r="C266" s="213"/>
      <c r="D266" s="213"/>
      <c r="E266" s="214"/>
      <c r="F266" s="215">
        <v>1899.1</v>
      </c>
      <c r="G266" s="231">
        <v>5.53</v>
      </c>
      <c r="H266" s="214"/>
      <c r="J266" s="41"/>
    </row>
    <row r="267" spans="1:10" hidden="1">
      <c r="A267" s="230">
        <v>41551</v>
      </c>
      <c r="B267" s="213"/>
      <c r="C267" s="213"/>
      <c r="D267" s="213"/>
      <c r="E267" s="214"/>
      <c r="F267" s="215">
        <v>1889.95</v>
      </c>
      <c r="G267" s="231">
        <v>4.97</v>
      </c>
      <c r="H267" s="214"/>
      <c r="J267" s="41"/>
    </row>
    <row r="268" spans="1:10" hidden="1">
      <c r="A268" s="230">
        <v>41558</v>
      </c>
      <c r="B268" s="213"/>
      <c r="C268" s="213"/>
      <c r="D268" s="213"/>
      <c r="E268" s="214"/>
      <c r="F268" s="215">
        <v>1885.84</v>
      </c>
      <c r="G268" s="231">
        <v>4.78</v>
      </c>
      <c r="H268" s="214"/>
      <c r="J268" s="41"/>
    </row>
    <row r="269" spans="1:10" hidden="1">
      <c r="A269" s="230">
        <v>41565</v>
      </c>
      <c r="B269" s="213"/>
      <c r="C269" s="213"/>
      <c r="D269" s="213"/>
      <c r="E269" s="214"/>
      <c r="F269" s="215">
        <v>1879.48</v>
      </c>
      <c r="G269" s="231">
        <v>4.5</v>
      </c>
      <c r="H269" s="214"/>
      <c r="J269" s="41"/>
    </row>
    <row r="270" spans="1:10" hidden="1">
      <c r="A270" s="230">
        <v>41572</v>
      </c>
      <c r="B270" s="213"/>
      <c r="C270" s="213"/>
      <c r="D270" s="213"/>
      <c r="E270" s="214"/>
      <c r="F270" s="215">
        <v>1882.11</v>
      </c>
      <c r="G270" s="231">
        <v>3.57</v>
      </c>
      <c r="H270" s="214"/>
      <c r="J270" s="41"/>
    </row>
    <row r="271" spans="1:10" hidden="1">
      <c r="A271" s="230">
        <v>41579</v>
      </c>
      <c r="B271" s="213"/>
      <c r="C271" s="213"/>
      <c r="D271" s="213"/>
      <c r="E271" s="214"/>
      <c r="F271" s="215">
        <v>1889.16</v>
      </c>
      <c r="G271" s="231">
        <v>3.16</v>
      </c>
      <c r="H271" s="214"/>
      <c r="J271" s="41"/>
    </row>
    <row r="272" spans="1:10" hidden="1">
      <c r="A272" s="230">
        <v>41586</v>
      </c>
      <c r="B272" s="213"/>
      <c r="C272" s="213"/>
      <c r="D272" s="213"/>
      <c r="E272" s="214"/>
      <c r="F272" s="215">
        <v>1924.87</v>
      </c>
      <c r="G272" s="231">
        <v>6.06</v>
      </c>
      <c r="H272" s="214"/>
      <c r="J272" s="41"/>
    </row>
    <row r="273" spans="1:10" hidden="1">
      <c r="A273" s="230">
        <v>41593</v>
      </c>
      <c r="B273" s="213"/>
      <c r="C273" s="213"/>
      <c r="D273" s="213"/>
      <c r="E273" s="214"/>
      <c r="F273" s="215">
        <v>1929.24</v>
      </c>
      <c r="G273" s="231">
        <v>6.11</v>
      </c>
      <c r="H273" s="214"/>
      <c r="J273" s="41"/>
    </row>
    <row r="274" spans="1:10" hidden="1">
      <c r="A274" s="230">
        <v>41600</v>
      </c>
      <c r="B274" s="213"/>
      <c r="C274" s="213"/>
      <c r="D274" s="213"/>
      <c r="E274" s="214"/>
      <c r="F274" s="215">
        <v>1932.42</v>
      </c>
      <c r="G274" s="231">
        <v>6.42</v>
      </c>
      <c r="H274" s="214"/>
      <c r="J274" s="41"/>
    </row>
    <row r="275" spans="1:10" hidden="1">
      <c r="A275" s="230">
        <v>41607</v>
      </c>
      <c r="B275" s="213"/>
      <c r="C275" s="213"/>
      <c r="D275" s="213"/>
      <c r="E275" s="214"/>
      <c r="F275" s="215">
        <v>1928.25</v>
      </c>
      <c r="G275" s="231">
        <v>5.65</v>
      </c>
      <c r="H275" s="214"/>
      <c r="J275" s="41"/>
    </row>
    <row r="276" spans="1:10" hidden="1">
      <c r="A276" s="230">
        <v>41614</v>
      </c>
      <c r="B276" s="213"/>
      <c r="C276" s="213"/>
      <c r="D276" s="213"/>
      <c r="E276" s="214"/>
      <c r="F276" s="215">
        <v>1940.26</v>
      </c>
      <c r="G276" s="231">
        <v>7.1319999999999997</v>
      </c>
      <c r="H276" s="214"/>
      <c r="J276" s="41"/>
    </row>
    <row r="277" spans="1:10" hidden="1">
      <c r="A277" s="230">
        <v>41621</v>
      </c>
      <c r="B277" s="213"/>
      <c r="C277" s="213"/>
      <c r="D277" s="213"/>
      <c r="E277" s="214"/>
      <c r="F277" s="215">
        <v>1935.89</v>
      </c>
      <c r="G277" s="231">
        <v>7.77</v>
      </c>
      <c r="H277" s="214"/>
      <c r="J277" s="41"/>
    </row>
    <row r="278" spans="1:10" hidden="1">
      <c r="A278" s="230">
        <v>41628</v>
      </c>
      <c r="B278" s="213"/>
      <c r="C278" s="213"/>
      <c r="D278" s="213"/>
      <c r="E278" s="214"/>
      <c r="F278" s="215">
        <v>1943.46</v>
      </c>
      <c r="G278" s="231">
        <v>8.5500000000000007</v>
      </c>
      <c r="H278" s="214"/>
      <c r="J278" s="41"/>
    </row>
    <row r="279" spans="1:10" hidden="1">
      <c r="A279" s="230">
        <v>41635</v>
      </c>
      <c r="B279" s="213"/>
      <c r="C279" s="213"/>
      <c r="D279" s="213"/>
      <c r="E279" s="214"/>
      <c r="F279" s="215">
        <v>1921.22</v>
      </c>
      <c r="G279" s="231">
        <v>8.4499999999999993</v>
      </c>
      <c r="H279" s="214"/>
      <c r="J279" s="41"/>
    </row>
    <row r="280" spans="1:10" hidden="1">
      <c r="A280" s="230">
        <v>41642</v>
      </c>
      <c r="B280" s="213"/>
      <c r="C280" s="213"/>
      <c r="D280" s="213"/>
      <c r="E280" s="214"/>
      <c r="F280" s="215">
        <v>1938.89</v>
      </c>
      <c r="G280" s="231">
        <v>10.17</v>
      </c>
      <c r="H280" s="214"/>
      <c r="J280" s="41"/>
    </row>
    <row r="281" spans="1:10" hidden="1">
      <c r="A281" s="230">
        <v>41649</v>
      </c>
      <c r="B281" s="213"/>
      <c r="C281" s="213"/>
      <c r="D281" s="213"/>
      <c r="E281" s="214"/>
      <c r="F281" s="215">
        <v>1934.88</v>
      </c>
      <c r="G281" s="231">
        <v>9.4413900766985748</v>
      </c>
      <c r="H281" s="214"/>
      <c r="J281" s="41"/>
    </row>
    <row r="282" spans="1:10" hidden="1">
      <c r="A282" s="230">
        <v>41656</v>
      </c>
      <c r="B282" s="213"/>
      <c r="C282" s="213"/>
      <c r="D282" s="213"/>
      <c r="E282" s="214"/>
      <c r="F282" s="215">
        <v>1947.15</v>
      </c>
      <c r="G282" s="231">
        <v>9.69</v>
      </c>
      <c r="H282" s="214"/>
      <c r="J282" s="41"/>
    </row>
    <row r="283" spans="1:10" hidden="1">
      <c r="A283" s="230">
        <v>41663</v>
      </c>
      <c r="B283" s="213"/>
      <c r="C283" s="213"/>
      <c r="D283" s="213"/>
      <c r="E283" s="214"/>
      <c r="F283" s="215">
        <v>1993.23</v>
      </c>
      <c r="G283" s="231">
        <v>12.06</v>
      </c>
      <c r="H283" s="214"/>
      <c r="J283" s="41"/>
    </row>
    <row r="284" spans="1:10" hidden="1">
      <c r="A284" s="230">
        <v>41670</v>
      </c>
      <c r="B284" s="213"/>
      <c r="C284" s="213"/>
      <c r="D284" s="213"/>
      <c r="E284" s="214"/>
      <c r="F284" s="215">
        <v>2008.26</v>
      </c>
      <c r="G284" s="231">
        <v>13.25</v>
      </c>
      <c r="H284" s="214"/>
      <c r="J284" s="41"/>
    </row>
    <row r="285" spans="1:10" hidden="1">
      <c r="A285" s="230">
        <v>41677</v>
      </c>
      <c r="B285" s="213"/>
      <c r="C285" s="213"/>
      <c r="D285" s="213"/>
      <c r="E285" s="214"/>
      <c r="F285" s="215">
        <v>2049.52</v>
      </c>
      <c r="G285" s="231">
        <v>14.42</v>
      </c>
      <c r="H285" s="214"/>
      <c r="J285" s="41"/>
    </row>
    <row r="286" spans="1:10" hidden="1">
      <c r="A286" s="230">
        <v>41684</v>
      </c>
      <c r="B286" s="213"/>
      <c r="C286" s="213"/>
      <c r="D286" s="213"/>
      <c r="E286" s="214"/>
      <c r="F286" s="215">
        <v>2032.99</v>
      </c>
      <c r="G286" s="231">
        <v>14.36</v>
      </c>
      <c r="H286" s="214"/>
      <c r="J286" s="41"/>
    </row>
    <row r="287" spans="1:10" hidden="1">
      <c r="A287" s="230">
        <v>41691</v>
      </c>
      <c r="B287" s="213"/>
      <c r="C287" s="213"/>
      <c r="D287" s="213"/>
      <c r="E287" s="214"/>
      <c r="F287" s="215">
        <v>2052.46</v>
      </c>
      <c r="G287" s="231">
        <v>14.58</v>
      </c>
      <c r="H287" s="214"/>
      <c r="J287" s="41"/>
    </row>
    <row r="288" spans="1:10" hidden="1">
      <c r="A288" s="230">
        <v>41698</v>
      </c>
      <c r="B288" s="213"/>
      <c r="C288" s="213"/>
      <c r="D288" s="213"/>
      <c r="E288" s="214"/>
      <c r="F288" s="215">
        <v>2054.9</v>
      </c>
      <c r="G288" s="231">
        <v>13.13</v>
      </c>
      <c r="H288" s="214"/>
      <c r="J288" s="41"/>
    </row>
    <row r="289" spans="1:10" hidden="1">
      <c r="A289" s="230">
        <v>41705</v>
      </c>
      <c r="B289" s="213"/>
      <c r="C289" s="213"/>
      <c r="D289" s="213"/>
      <c r="E289" s="214"/>
      <c r="F289" s="215">
        <v>2030.02</v>
      </c>
      <c r="G289" s="231">
        <v>12.28</v>
      </c>
      <c r="H289" s="214"/>
      <c r="J289" s="41"/>
    </row>
    <row r="290" spans="1:10" hidden="1">
      <c r="A290" s="230">
        <v>41712</v>
      </c>
      <c r="B290" s="213"/>
      <c r="C290" s="213"/>
      <c r="D290" s="213"/>
      <c r="E290" s="214"/>
      <c r="F290" s="215">
        <v>2044.48</v>
      </c>
      <c r="G290" s="231">
        <v>13.67</v>
      </c>
      <c r="H290" s="214"/>
      <c r="J290" s="41"/>
    </row>
    <row r="291" spans="1:10" hidden="1">
      <c r="A291" s="230">
        <v>41719</v>
      </c>
      <c r="B291" s="213"/>
      <c r="C291" s="213"/>
      <c r="D291" s="213"/>
      <c r="E291" s="214"/>
      <c r="F291" s="215">
        <v>1998.6</v>
      </c>
      <c r="G291" s="231">
        <v>10.28</v>
      </c>
      <c r="H291" s="214"/>
      <c r="J291" s="41"/>
    </row>
    <row r="292" spans="1:10" hidden="1">
      <c r="A292" s="230">
        <v>41726</v>
      </c>
      <c r="B292" s="213"/>
      <c r="C292" s="213"/>
      <c r="D292" s="213"/>
      <c r="E292" s="214"/>
      <c r="F292" s="215">
        <v>1965.64</v>
      </c>
      <c r="G292" s="231">
        <v>7.28</v>
      </c>
      <c r="H292" s="214"/>
      <c r="J292" s="41"/>
    </row>
    <row r="293" spans="1:10" hidden="1">
      <c r="A293" s="230">
        <v>41733</v>
      </c>
      <c r="B293" s="213"/>
      <c r="C293" s="213"/>
      <c r="D293" s="213"/>
      <c r="E293" s="214"/>
      <c r="F293" s="215">
        <v>1966.4</v>
      </c>
      <c r="G293" s="231">
        <v>8.0500000000000007</v>
      </c>
      <c r="H293" s="214"/>
      <c r="J293" s="41"/>
    </row>
    <row r="294" spans="1:10" hidden="1">
      <c r="A294" s="230">
        <v>41740</v>
      </c>
      <c r="B294" s="213"/>
      <c r="C294" s="213"/>
      <c r="D294" s="213"/>
      <c r="E294" s="214"/>
      <c r="F294" s="215">
        <v>1920.93</v>
      </c>
      <c r="G294" s="231">
        <v>5.48</v>
      </c>
      <c r="H294" s="214"/>
      <c r="J294" s="41"/>
    </row>
    <row r="295" spans="1:10" hidden="1">
      <c r="A295" s="230">
        <v>41747</v>
      </c>
      <c r="B295" s="213"/>
      <c r="C295" s="213"/>
      <c r="D295" s="213"/>
      <c r="E295" s="214"/>
      <c r="F295" s="215">
        <v>1930.62</v>
      </c>
      <c r="G295" s="231">
        <v>4.5599999999999996</v>
      </c>
      <c r="H295" s="214"/>
      <c r="J295" s="41"/>
    </row>
    <row r="296" spans="1:10" hidden="1">
      <c r="A296" s="230">
        <v>41754</v>
      </c>
      <c r="B296" s="213"/>
      <c r="C296" s="213"/>
      <c r="D296" s="213"/>
      <c r="E296" s="214"/>
      <c r="F296" s="215">
        <v>1936.07</v>
      </c>
      <c r="G296" s="231">
        <v>5.41</v>
      </c>
      <c r="H296" s="214"/>
      <c r="J296" s="41"/>
    </row>
    <row r="297" spans="1:10" hidden="1">
      <c r="A297" s="230">
        <v>41761</v>
      </c>
      <c r="B297" s="213"/>
      <c r="C297" s="213"/>
      <c r="D297" s="213"/>
      <c r="E297" s="214"/>
      <c r="F297" s="215">
        <v>1933.46</v>
      </c>
      <c r="G297" s="231">
        <v>5.89</v>
      </c>
      <c r="H297" s="214"/>
      <c r="J297" s="41"/>
    </row>
    <row r="298" spans="1:10" hidden="1">
      <c r="A298" s="230">
        <v>41768</v>
      </c>
      <c r="B298" s="213"/>
      <c r="C298" s="213"/>
      <c r="D298" s="213"/>
      <c r="E298" s="214"/>
      <c r="F298" s="215">
        <v>1902.15</v>
      </c>
      <c r="G298" s="231">
        <v>3.9</v>
      </c>
      <c r="H298" s="214"/>
      <c r="J298" s="41"/>
    </row>
    <row r="299" spans="1:10" hidden="1">
      <c r="A299" s="230">
        <v>41775</v>
      </c>
      <c r="B299" s="213"/>
      <c r="C299" s="213"/>
      <c r="D299" s="213"/>
      <c r="E299" s="214"/>
      <c r="F299" s="215">
        <v>1927.8</v>
      </c>
      <c r="G299" s="231">
        <v>4.5599999999999996</v>
      </c>
      <c r="H299" s="214"/>
      <c r="J299" s="41"/>
    </row>
    <row r="300" spans="1:10" hidden="1">
      <c r="A300" s="230">
        <v>41782</v>
      </c>
      <c r="B300" s="213"/>
      <c r="C300" s="213"/>
      <c r="D300" s="213"/>
      <c r="E300" s="214"/>
      <c r="F300" s="215">
        <v>1905.8</v>
      </c>
      <c r="G300" s="231">
        <v>2.99</v>
      </c>
      <c r="H300" s="214"/>
      <c r="J300" s="41"/>
    </row>
    <row r="301" spans="1:10" hidden="1">
      <c r="A301" s="230">
        <v>41789</v>
      </c>
      <c r="B301" s="213"/>
      <c r="C301" s="213"/>
      <c r="D301" s="213"/>
      <c r="E301" s="214"/>
      <c r="F301" s="215">
        <v>1905.96</v>
      </c>
      <c r="G301" s="231">
        <v>0.62</v>
      </c>
      <c r="H301" s="214"/>
      <c r="J301" s="41"/>
    </row>
    <row r="302" spans="1:10" hidden="1">
      <c r="A302" s="230">
        <v>41796</v>
      </c>
      <c r="B302" s="213"/>
      <c r="C302" s="213"/>
      <c r="D302" s="213"/>
      <c r="E302" s="214"/>
      <c r="F302" s="215">
        <v>1892.08</v>
      </c>
      <c r="G302" s="231">
        <v>-0.37</v>
      </c>
      <c r="H302" s="214"/>
      <c r="J302" s="41"/>
    </row>
    <row r="303" spans="1:10" hidden="1">
      <c r="A303" s="230">
        <v>41803</v>
      </c>
      <c r="B303" s="213"/>
      <c r="C303" s="213"/>
      <c r="D303" s="213"/>
      <c r="E303" s="214"/>
      <c r="F303" s="215">
        <v>1877.18</v>
      </c>
      <c r="G303" s="231">
        <v>-1.07</v>
      </c>
      <c r="H303" s="214"/>
      <c r="J303" s="41"/>
    </row>
    <row r="304" spans="1:10" hidden="1">
      <c r="A304" s="230">
        <v>41810</v>
      </c>
      <c r="B304" s="213"/>
      <c r="C304" s="213"/>
      <c r="D304" s="213"/>
      <c r="E304" s="214"/>
      <c r="F304" s="215">
        <v>1881.34</v>
      </c>
      <c r="G304" s="231">
        <v>-1.03</v>
      </c>
      <c r="H304" s="214"/>
      <c r="J304" s="41"/>
    </row>
    <row r="305" spans="1:10" hidden="1">
      <c r="A305" s="230">
        <v>41817</v>
      </c>
      <c r="B305" s="213"/>
      <c r="C305" s="213"/>
      <c r="D305" s="213"/>
      <c r="E305" s="214"/>
      <c r="F305" s="215">
        <v>1886.01</v>
      </c>
      <c r="G305" s="231">
        <v>-1.87</v>
      </c>
      <c r="H305" s="214"/>
      <c r="J305" s="41"/>
    </row>
    <row r="306" spans="1:10" hidden="1">
      <c r="A306" s="230">
        <v>41824</v>
      </c>
      <c r="B306" s="213"/>
      <c r="C306" s="213"/>
      <c r="D306" s="213"/>
      <c r="E306" s="214"/>
      <c r="F306" s="215">
        <v>1848.91</v>
      </c>
      <c r="G306" s="231">
        <v>-3.47</v>
      </c>
      <c r="H306" s="214"/>
      <c r="J306" s="41"/>
    </row>
    <row r="307" spans="1:10" hidden="1">
      <c r="A307" s="230">
        <v>41831</v>
      </c>
      <c r="B307" s="213"/>
      <c r="C307" s="213"/>
      <c r="D307" s="213"/>
      <c r="E307" s="214"/>
      <c r="F307" s="215">
        <v>1858.47</v>
      </c>
      <c r="G307" s="231">
        <v>-3.22</v>
      </c>
      <c r="H307" s="214"/>
      <c r="J307" s="41"/>
    </row>
    <row r="308" spans="1:10" hidden="1">
      <c r="A308" s="230">
        <v>41838</v>
      </c>
      <c r="B308" s="213"/>
      <c r="C308" s="213"/>
      <c r="D308" s="213"/>
      <c r="E308" s="214"/>
      <c r="F308" s="215">
        <v>1872.27</v>
      </c>
      <c r="G308" s="231">
        <v>-0.05</v>
      </c>
      <c r="H308" s="214"/>
      <c r="J308" s="41"/>
    </row>
    <row r="309" spans="1:10" hidden="1">
      <c r="A309" s="232">
        <v>41845</v>
      </c>
      <c r="B309" s="213"/>
      <c r="C309" s="213"/>
      <c r="D309" s="213"/>
      <c r="E309" s="214"/>
      <c r="F309" s="215">
        <v>1846.12</v>
      </c>
      <c r="G309" s="231">
        <v>-2.37</v>
      </c>
      <c r="H309" s="214"/>
      <c r="J309" s="41"/>
    </row>
    <row r="310" spans="1:10" hidden="1">
      <c r="A310" s="230">
        <v>41852</v>
      </c>
      <c r="B310" s="213"/>
      <c r="C310" s="213"/>
      <c r="D310" s="213"/>
      <c r="E310" s="214"/>
      <c r="F310" s="215">
        <v>1878.75</v>
      </c>
      <c r="G310" s="231">
        <v>-0.92</v>
      </c>
      <c r="H310" s="214"/>
      <c r="J310" s="41"/>
    </row>
    <row r="311" spans="1:10" hidden="1">
      <c r="A311" s="230">
        <v>41859</v>
      </c>
      <c r="B311" s="213"/>
      <c r="C311" s="213"/>
      <c r="D311" s="213"/>
      <c r="E311" s="214"/>
      <c r="F311" s="215">
        <v>1888.51</v>
      </c>
      <c r="G311" s="231">
        <v>0.35</v>
      </c>
      <c r="H311" s="214"/>
      <c r="J311" s="41"/>
    </row>
    <row r="312" spans="1:10" hidden="1">
      <c r="A312" s="230">
        <v>41866</v>
      </c>
      <c r="B312" s="213"/>
      <c r="C312" s="213"/>
      <c r="D312" s="213"/>
      <c r="E312" s="214"/>
      <c r="F312" s="215">
        <v>1877.77</v>
      </c>
      <c r="G312" s="231">
        <v>-0.28999999999999998</v>
      </c>
      <c r="H312" s="214"/>
      <c r="J312" s="41"/>
    </row>
    <row r="313" spans="1:10" hidden="1">
      <c r="A313" s="230">
        <v>41873</v>
      </c>
      <c r="B313" s="213"/>
      <c r="C313" s="213"/>
      <c r="D313" s="213"/>
      <c r="E313" s="214"/>
      <c r="F313" s="215">
        <v>1919.84</v>
      </c>
      <c r="G313" s="231">
        <v>-0.51</v>
      </c>
      <c r="H313" s="214"/>
      <c r="J313" s="41"/>
    </row>
    <row r="314" spans="1:10" hidden="1">
      <c r="A314" s="230">
        <v>41880</v>
      </c>
      <c r="B314" s="213"/>
      <c r="C314" s="213"/>
      <c r="D314" s="213"/>
      <c r="E314" s="214"/>
      <c r="F314" s="215">
        <v>1935.04</v>
      </c>
      <c r="G314" s="231">
        <v>-0.25</v>
      </c>
      <c r="H314" s="214"/>
      <c r="J314" s="41"/>
    </row>
    <row r="315" spans="1:10" hidden="1">
      <c r="A315" s="230">
        <v>41887</v>
      </c>
      <c r="B315" s="213"/>
      <c r="C315" s="213"/>
      <c r="D315" s="213"/>
      <c r="E315" s="214"/>
      <c r="F315" s="215">
        <v>1931.45</v>
      </c>
      <c r="G315" s="231">
        <v>-0.39</v>
      </c>
      <c r="H315" s="214"/>
      <c r="J315" s="41"/>
    </row>
    <row r="316" spans="1:10" hidden="1">
      <c r="A316" s="230">
        <v>41894</v>
      </c>
      <c r="B316" s="213"/>
      <c r="C316" s="213"/>
      <c r="D316" s="213"/>
      <c r="E316" s="214"/>
      <c r="F316" s="215">
        <v>1979.97</v>
      </c>
      <c r="G316" s="231">
        <v>2.93</v>
      </c>
      <c r="H316" s="214"/>
      <c r="J316" s="41"/>
    </row>
    <row r="317" spans="1:10" hidden="1">
      <c r="A317" s="230">
        <v>41901</v>
      </c>
      <c r="B317" s="213"/>
      <c r="C317" s="213"/>
      <c r="D317" s="213"/>
      <c r="E317" s="214"/>
      <c r="F317" s="215">
        <v>1975.42</v>
      </c>
      <c r="G317" s="231">
        <v>3.35</v>
      </c>
      <c r="H317" s="214"/>
      <c r="J317" s="41"/>
    </row>
    <row r="318" spans="1:10" hidden="1">
      <c r="A318" s="230">
        <v>41908</v>
      </c>
      <c r="B318" s="213"/>
      <c r="C318" s="213"/>
      <c r="D318" s="213"/>
      <c r="E318" s="214"/>
      <c r="F318" s="215">
        <v>2019.76</v>
      </c>
      <c r="G318" s="231">
        <v>6.67</v>
      </c>
      <c r="H318" s="214"/>
      <c r="J318" s="41"/>
    </row>
    <row r="319" spans="1:10" hidden="1">
      <c r="A319" s="230">
        <v>41915</v>
      </c>
      <c r="B319" s="213"/>
      <c r="C319" s="213"/>
      <c r="D319" s="213"/>
      <c r="E319" s="214"/>
      <c r="F319" s="215">
        <v>2021.49</v>
      </c>
      <c r="G319" s="231">
        <v>7.24</v>
      </c>
      <c r="H319" s="214"/>
      <c r="J319" s="41"/>
    </row>
    <row r="320" spans="1:10" hidden="1">
      <c r="A320" s="230">
        <v>41922</v>
      </c>
      <c r="B320" s="213"/>
      <c r="C320" s="213"/>
      <c r="D320" s="213"/>
      <c r="E320" s="214"/>
      <c r="F320" s="215">
        <v>2041.71</v>
      </c>
      <c r="G320" s="231">
        <v>7.8</v>
      </c>
      <c r="H320" s="214"/>
      <c r="J320" s="41"/>
    </row>
    <row r="321" spans="1:10" hidden="1">
      <c r="A321" s="230">
        <v>41929</v>
      </c>
      <c r="B321" s="213"/>
      <c r="C321" s="213"/>
      <c r="D321" s="213"/>
      <c r="E321" s="214"/>
      <c r="F321" s="215">
        <v>2074.4</v>
      </c>
      <c r="G321" s="231">
        <v>10.29</v>
      </c>
      <c r="H321" s="214"/>
      <c r="J321" s="41"/>
    </row>
    <row r="322" spans="1:10" hidden="1">
      <c r="A322" s="230">
        <v>41936</v>
      </c>
      <c r="B322" s="213"/>
      <c r="C322" s="213"/>
      <c r="D322" s="213"/>
      <c r="E322" s="214"/>
      <c r="F322" s="215">
        <v>2053.39</v>
      </c>
      <c r="G322" s="231">
        <v>9.0399999999999991</v>
      </c>
      <c r="H322" s="214"/>
      <c r="J322" s="41"/>
    </row>
    <row r="323" spans="1:10" hidden="1">
      <c r="A323" s="230">
        <v>41943</v>
      </c>
      <c r="B323" s="213"/>
      <c r="C323" s="213"/>
      <c r="D323" s="213"/>
      <c r="E323" s="214"/>
      <c r="F323" s="215">
        <v>2050.52</v>
      </c>
      <c r="G323" s="231">
        <v>8.84</v>
      </c>
      <c r="H323" s="214"/>
      <c r="J323" s="41"/>
    </row>
    <row r="324" spans="1:10" hidden="1">
      <c r="A324" s="230">
        <v>41950</v>
      </c>
      <c r="B324" s="213"/>
      <c r="C324" s="213"/>
      <c r="D324" s="213"/>
      <c r="E324" s="214"/>
      <c r="F324" s="215">
        <v>2086.86</v>
      </c>
      <c r="G324" s="231">
        <v>8.8699999999999992</v>
      </c>
      <c r="H324" s="214"/>
      <c r="J324" s="41"/>
    </row>
    <row r="325" spans="1:10" hidden="1">
      <c r="A325" s="230">
        <v>41957</v>
      </c>
      <c r="B325" s="213"/>
      <c r="C325" s="213"/>
      <c r="D325" s="213"/>
      <c r="E325" s="214"/>
      <c r="F325" s="215">
        <v>2133.0300000000002</v>
      </c>
      <c r="G325" s="231">
        <v>10.4</v>
      </c>
      <c r="H325" s="214"/>
      <c r="J325" s="41"/>
    </row>
    <row r="326" spans="1:10" hidden="1">
      <c r="A326" s="230">
        <v>41964</v>
      </c>
      <c r="B326" s="213"/>
      <c r="C326" s="213"/>
      <c r="D326" s="213"/>
      <c r="E326" s="214"/>
      <c r="F326" s="215">
        <v>2156.9299999999998</v>
      </c>
      <c r="G326" s="231">
        <v>12.15</v>
      </c>
      <c r="H326" s="214"/>
      <c r="J326" s="41"/>
    </row>
    <row r="327" spans="1:10" hidden="1">
      <c r="A327" s="230">
        <v>41971</v>
      </c>
      <c r="B327" s="213"/>
      <c r="C327" s="213"/>
      <c r="D327" s="213"/>
      <c r="E327" s="214"/>
      <c r="F327" s="215">
        <v>2165.15</v>
      </c>
      <c r="G327" s="231">
        <v>12.29</v>
      </c>
      <c r="H327" s="214"/>
      <c r="J327" s="41"/>
    </row>
    <row r="328" spans="1:10" hidden="1">
      <c r="A328" s="230">
        <v>41978</v>
      </c>
      <c r="B328" s="213"/>
      <c r="C328" s="213"/>
      <c r="D328" s="213"/>
      <c r="E328" s="214"/>
      <c r="F328" s="215">
        <v>2284.2399999999998</v>
      </c>
      <c r="G328" s="231">
        <v>17.23</v>
      </c>
      <c r="H328" s="214"/>
      <c r="J328" s="41"/>
    </row>
    <row r="329" spans="1:10" hidden="1">
      <c r="A329" s="230">
        <v>41985</v>
      </c>
      <c r="B329" s="213"/>
      <c r="C329" s="213"/>
      <c r="D329" s="213"/>
      <c r="E329" s="214"/>
      <c r="F329" s="215">
        <v>2423.56</v>
      </c>
      <c r="G329" s="231">
        <v>25.21</v>
      </c>
      <c r="H329" s="214"/>
      <c r="J329" s="41"/>
    </row>
    <row r="330" spans="1:10" hidden="1">
      <c r="A330" s="230">
        <v>41992</v>
      </c>
      <c r="B330" s="213"/>
      <c r="C330" s="213"/>
      <c r="D330" s="213"/>
      <c r="E330" s="214"/>
      <c r="F330" s="215">
        <v>2334.98</v>
      </c>
      <c r="G330" s="231">
        <v>20.010000000000002</v>
      </c>
      <c r="H330" s="214"/>
      <c r="J330" s="41"/>
    </row>
    <row r="331" spans="1:10" hidden="1">
      <c r="A331" s="230">
        <v>41999</v>
      </c>
      <c r="B331" s="213"/>
      <c r="C331" s="213"/>
      <c r="D331" s="213"/>
      <c r="E331" s="214"/>
      <c r="F331" s="215">
        <v>2346.9</v>
      </c>
      <c r="G331" s="231">
        <v>22.06</v>
      </c>
      <c r="H331" s="214"/>
      <c r="J331" s="41"/>
    </row>
    <row r="332" spans="1:10" hidden="1">
      <c r="A332" s="230">
        <v>42006</v>
      </c>
      <c r="B332" s="213"/>
      <c r="C332" s="213"/>
      <c r="D332" s="213"/>
      <c r="E332" s="214"/>
      <c r="F332" s="215">
        <v>2392.46</v>
      </c>
      <c r="G332" s="231">
        <v>24.17</v>
      </c>
      <c r="H332" s="214"/>
      <c r="J332" s="41"/>
    </row>
    <row r="333" spans="1:10" hidden="1">
      <c r="A333" s="230">
        <v>42013</v>
      </c>
      <c r="B333" s="213"/>
      <c r="C333" s="213"/>
      <c r="D333" s="213"/>
      <c r="E333" s="214"/>
      <c r="F333" s="215">
        <v>2405.0300000000002</v>
      </c>
      <c r="G333" s="231">
        <v>24.4</v>
      </c>
      <c r="H333" s="214"/>
      <c r="J333" s="41"/>
    </row>
    <row r="334" spans="1:10" hidden="1">
      <c r="A334" s="230">
        <v>42020</v>
      </c>
      <c r="B334" s="213"/>
      <c r="C334" s="213"/>
      <c r="D334" s="213"/>
      <c r="E334" s="214"/>
      <c r="F334" s="215">
        <v>2398.91</v>
      </c>
      <c r="G334" s="231">
        <v>23.56</v>
      </c>
      <c r="H334" s="214"/>
      <c r="J334" s="41"/>
    </row>
    <row r="335" spans="1:10" hidden="1">
      <c r="A335" s="230">
        <v>42027</v>
      </c>
      <c r="B335" s="213"/>
      <c r="C335" s="213"/>
      <c r="D335" s="213"/>
      <c r="E335" s="214"/>
      <c r="F335" s="215">
        <v>2370.75</v>
      </c>
      <c r="G335" s="231">
        <v>19.52</v>
      </c>
      <c r="H335" s="214"/>
      <c r="J335" s="41"/>
    </row>
    <row r="336" spans="1:10" hidden="1">
      <c r="A336" s="230">
        <v>42034</v>
      </c>
      <c r="B336" s="213"/>
      <c r="C336" s="213"/>
      <c r="D336" s="213"/>
      <c r="E336" s="214"/>
      <c r="F336" s="215">
        <v>2397.35</v>
      </c>
      <c r="G336" s="231">
        <v>19.079999999999998</v>
      </c>
      <c r="H336" s="214"/>
      <c r="J336" s="41"/>
    </row>
    <row r="337" spans="1:10" hidden="1">
      <c r="A337" s="230">
        <v>42041</v>
      </c>
      <c r="B337" s="213"/>
      <c r="C337" s="213"/>
      <c r="D337" s="213"/>
      <c r="E337" s="214"/>
      <c r="F337" s="215">
        <v>2384.5300000000002</v>
      </c>
      <c r="G337" s="231">
        <v>16.39</v>
      </c>
      <c r="H337" s="214"/>
      <c r="J337" s="41"/>
    </row>
    <row r="338" spans="1:10" hidden="1">
      <c r="A338" s="230">
        <v>42048</v>
      </c>
      <c r="B338" s="213"/>
      <c r="C338" s="213"/>
      <c r="D338" s="213"/>
      <c r="E338" s="214"/>
      <c r="F338" s="215">
        <v>2401.0300000000002</v>
      </c>
      <c r="G338" s="231">
        <v>18.18</v>
      </c>
      <c r="H338" s="214"/>
      <c r="J338" s="41"/>
    </row>
    <row r="339" spans="1:10" hidden="1">
      <c r="A339" s="230">
        <v>42055</v>
      </c>
      <c r="B339" s="213"/>
      <c r="C339" s="213"/>
      <c r="D339" s="213"/>
      <c r="E339" s="214"/>
      <c r="F339" s="215">
        <v>2445.16</v>
      </c>
      <c r="G339" s="231">
        <v>19.73</v>
      </c>
      <c r="H339" s="214"/>
      <c r="J339" s="41"/>
    </row>
    <row r="340" spans="1:10" hidden="1">
      <c r="A340" s="230">
        <v>42062</v>
      </c>
      <c r="B340" s="213"/>
      <c r="C340" s="213"/>
      <c r="D340" s="213"/>
      <c r="E340" s="214"/>
      <c r="F340" s="215">
        <v>2484.58</v>
      </c>
      <c r="G340" s="231">
        <v>21.02</v>
      </c>
      <c r="H340" s="214"/>
      <c r="J340" s="41"/>
    </row>
    <row r="341" spans="1:10" hidden="1">
      <c r="A341" s="230">
        <v>42069</v>
      </c>
      <c r="B341" s="213"/>
      <c r="C341" s="213"/>
      <c r="D341" s="213"/>
      <c r="E341" s="214"/>
      <c r="F341" s="215">
        <v>2543.4699999999998</v>
      </c>
      <c r="G341" s="231">
        <v>24.37</v>
      </c>
      <c r="H341" s="214"/>
      <c r="J341" s="41"/>
    </row>
    <row r="342" spans="1:10" hidden="1">
      <c r="A342" s="230">
        <v>42076</v>
      </c>
      <c r="B342" s="213"/>
      <c r="C342" s="213"/>
      <c r="D342" s="213"/>
      <c r="E342" s="214"/>
      <c r="F342" s="215">
        <v>2610.08</v>
      </c>
      <c r="G342" s="231">
        <v>27.47</v>
      </c>
      <c r="H342" s="214"/>
      <c r="J342" s="41"/>
    </row>
    <row r="343" spans="1:10" hidden="1">
      <c r="A343" s="230">
        <v>42083</v>
      </c>
      <c r="B343" s="213"/>
      <c r="C343" s="213"/>
      <c r="D343" s="213"/>
      <c r="E343" s="214"/>
      <c r="F343" s="215">
        <v>2613.38</v>
      </c>
      <c r="G343" s="231">
        <v>29.54</v>
      </c>
      <c r="H343" s="214"/>
      <c r="J343" s="41"/>
    </row>
    <row r="344" spans="1:10" hidden="1">
      <c r="A344" s="230">
        <v>42090</v>
      </c>
      <c r="B344" s="213"/>
      <c r="C344" s="213"/>
      <c r="D344" s="213"/>
      <c r="E344" s="214"/>
      <c r="F344" s="215">
        <v>2551.3000000000002</v>
      </c>
      <c r="G344" s="231">
        <v>29.31</v>
      </c>
      <c r="H344" s="214"/>
      <c r="J344" s="41"/>
    </row>
    <row r="345" spans="1:10" hidden="1">
      <c r="A345" s="230">
        <v>42097</v>
      </c>
      <c r="B345" s="213"/>
      <c r="C345" s="213"/>
      <c r="D345" s="213"/>
      <c r="E345" s="214"/>
      <c r="F345" s="215">
        <v>2576.41</v>
      </c>
      <c r="G345" s="231">
        <v>31.21</v>
      </c>
      <c r="H345" s="214"/>
      <c r="J345" s="41"/>
    </row>
    <row r="346" spans="1:10" hidden="1">
      <c r="A346" s="230">
        <v>42104</v>
      </c>
      <c r="B346" s="213"/>
      <c r="C346" s="213"/>
      <c r="D346" s="213"/>
      <c r="E346" s="214"/>
      <c r="F346" s="215">
        <v>2494.77</v>
      </c>
      <c r="G346" s="231">
        <v>29.19</v>
      </c>
      <c r="H346" s="214"/>
      <c r="J346" s="41"/>
    </row>
    <row r="347" spans="1:10" hidden="1">
      <c r="A347" s="230">
        <v>42111</v>
      </c>
      <c r="B347" s="213"/>
      <c r="C347" s="213"/>
      <c r="D347" s="213"/>
      <c r="E347" s="214"/>
      <c r="F347" s="215">
        <v>2493.9299999999998</v>
      </c>
      <c r="G347" s="231">
        <v>29.18</v>
      </c>
      <c r="H347" s="214"/>
      <c r="J347" s="41"/>
    </row>
    <row r="348" spans="1:10" hidden="1">
      <c r="A348" s="230">
        <v>42118</v>
      </c>
      <c r="B348" s="213"/>
      <c r="C348" s="213"/>
      <c r="D348" s="213"/>
      <c r="E348" s="214"/>
      <c r="F348" s="215">
        <v>2471.21</v>
      </c>
      <c r="G348" s="231">
        <v>27.6</v>
      </c>
      <c r="H348" s="214"/>
      <c r="J348" s="41"/>
    </row>
    <row r="349" spans="1:10" hidden="1">
      <c r="A349" s="230">
        <v>42125</v>
      </c>
      <c r="B349" s="213"/>
      <c r="C349" s="213"/>
      <c r="D349" s="213"/>
      <c r="E349" s="214"/>
      <c r="F349" s="215">
        <v>2393.58</v>
      </c>
      <c r="G349" s="231">
        <v>23.8</v>
      </c>
      <c r="H349" s="214"/>
      <c r="J349" s="41"/>
    </row>
    <row r="350" spans="1:10" hidden="1">
      <c r="A350" s="230">
        <v>42132</v>
      </c>
      <c r="B350" s="213"/>
      <c r="C350" s="213"/>
      <c r="D350" s="213"/>
      <c r="E350" s="214"/>
      <c r="F350" s="215">
        <v>2369.23</v>
      </c>
      <c r="G350" s="231">
        <v>23.85</v>
      </c>
      <c r="H350" s="214"/>
      <c r="J350" s="41"/>
    </row>
    <row r="351" spans="1:10" hidden="1">
      <c r="A351" s="230">
        <v>42139</v>
      </c>
      <c r="B351" s="213"/>
      <c r="C351" s="213"/>
      <c r="D351" s="213"/>
      <c r="E351" s="214"/>
      <c r="F351" s="215">
        <v>2389.4899999999998</v>
      </c>
      <c r="G351" s="231">
        <v>24.11</v>
      </c>
      <c r="H351" s="214"/>
      <c r="J351" s="41"/>
    </row>
    <row r="352" spans="1:10" hidden="1">
      <c r="A352" s="230">
        <v>42146</v>
      </c>
      <c r="B352" s="213"/>
      <c r="C352" s="213"/>
      <c r="D352" s="213"/>
      <c r="E352" s="214"/>
      <c r="F352" s="215">
        <v>2489.39</v>
      </c>
      <c r="G352" s="231">
        <v>30.24</v>
      </c>
      <c r="H352" s="214"/>
      <c r="J352" s="41"/>
    </row>
    <row r="353" spans="1:10" hidden="1">
      <c r="A353" s="230">
        <v>42153</v>
      </c>
      <c r="B353" s="213"/>
      <c r="C353" s="213"/>
      <c r="D353" s="213"/>
      <c r="E353" s="214"/>
      <c r="F353" s="215">
        <v>2549.9699999999998</v>
      </c>
      <c r="G353" s="231">
        <v>33.450000000000003</v>
      </c>
      <c r="H353" s="214"/>
      <c r="J353" s="41"/>
    </row>
    <row r="354" spans="1:10" hidden="1">
      <c r="A354" s="230">
        <v>42160</v>
      </c>
      <c r="B354" s="213"/>
      <c r="C354" s="213"/>
      <c r="D354" s="213"/>
      <c r="E354" s="214"/>
      <c r="F354" s="215">
        <v>2588.56</v>
      </c>
      <c r="G354" s="231">
        <v>36.409999999999997</v>
      </c>
      <c r="H354" s="214"/>
      <c r="J354" s="41"/>
    </row>
    <row r="355" spans="1:10" hidden="1">
      <c r="A355" s="230">
        <v>42167</v>
      </c>
      <c r="B355" s="213"/>
      <c r="C355" s="213"/>
      <c r="D355" s="213"/>
      <c r="E355" s="214"/>
      <c r="F355" s="215">
        <v>2538.5500000000002</v>
      </c>
      <c r="G355" s="231">
        <v>34.700000000000003</v>
      </c>
      <c r="H355" s="214"/>
      <c r="J355" s="41"/>
    </row>
    <row r="356" spans="1:10" hidden="1">
      <c r="A356" s="230">
        <v>42174</v>
      </c>
      <c r="B356" s="213"/>
      <c r="C356" s="213"/>
      <c r="D356" s="213"/>
      <c r="E356" s="214"/>
      <c r="F356" s="215">
        <v>2528.85</v>
      </c>
      <c r="G356" s="231">
        <v>33.380000000000003</v>
      </c>
      <c r="H356" s="214"/>
      <c r="J356" s="41"/>
    </row>
    <row r="357" spans="1:10" hidden="1">
      <c r="A357" s="230">
        <v>42181</v>
      </c>
      <c r="B357" s="213"/>
      <c r="C357" s="213"/>
      <c r="D357" s="213"/>
      <c r="E357" s="214"/>
      <c r="F357" s="215">
        <v>2556.21</v>
      </c>
      <c r="G357" s="231">
        <v>35.94</v>
      </c>
      <c r="H357" s="214"/>
      <c r="J357" s="41"/>
    </row>
    <row r="358" spans="1:10" hidden="1">
      <c r="A358" s="230">
        <v>42188</v>
      </c>
      <c r="B358" s="213"/>
      <c r="C358" s="213"/>
      <c r="D358" s="213"/>
      <c r="E358" s="214"/>
      <c r="F358" s="215">
        <v>2623.91</v>
      </c>
      <c r="G358" s="231">
        <v>41.32</v>
      </c>
      <c r="H358" s="214"/>
      <c r="J358" s="41"/>
    </row>
    <row r="359" spans="1:10" hidden="1">
      <c r="A359" s="230">
        <v>42195</v>
      </c>
      <c r="B359" s="213"/>
      <c r="C359" s="213"/>
      <c r="D359" s="213"/>
      <c r="E359" s="214"/>
      <c r="F359" s="215">
        <v>2670.79</v>
      </c>
      <c r="G359" s="231">
        <v>43.6</v>
      </c>
      <c r="H359" s="214"/>
      <c r="J359" s="41"/>
    </row>
    <row r="360" spans="1:10" hidden="1">
      <c r="A360" s="230">
        <v>42202</v>
      </c>
      <c r="B360" s="213"/>
      <c r="C360" s="213"/>
      <c r="D360" s="213"/>
      <c r="E360" s="214"/>
      <c r="F360" s="215">
        <v>2727.23</v>
      </c>
      <c r="G360" s="231">
        <v>45.97</v>
      </c>
      <c r="H360" s="214"/>
      <c r="J360" s="41"/>
    </row>
    <row r="361" spans="1:10" hidden="1">
      <c r="A361" s="230">
        <v>42209</v>
      </c>
      <c r="B361" s="213"/>
      <c r="C361" s="213"/>
      <c r="D361" s="213"/>
      <c r="E361" s="214"/>
      <c r="F361" s="215">
        <v>2807.36</v>
      </c>
      <c r="G361" s="231">
        <v>51.93</v>
      </c>
      <c r="H361" s="214"/>
      <c r="J361" s="41"/>
    </row>
    <row r="362" spans="1:10" hidden="1">
      <c r="A362" s="230">
        <v>42216</v>
      </c>
      <c r="B362" s="213"/>
      <c r="C362" s="213"/>
      <c r="D362" s="213"/>
      <c r="E362" s="214"/>
      <c r="F362" s="215">
        <v>2866.04</v>
      </c>
      <c r="G362" s="231">
        <v>53.07</v>
      </c>
      <c r="H362" s="214"/>
      <c r="J362" s="41"/>
    </row>
    <row r="363" spans="1:10" hidden="1">
      <c r="A363" s="230">
        <v>42223</v>
      </c>
      <c r="B363" s="213"/>
      <c r="C363" s="213"/>
      <c r="D363" s="213"/>
      <c r="E363" s="214"/>
      <c r="F363" s="215">
        <v>2955.31</v>
      </c>
      <c r="G363" s="231">
        <v>56.49</v>
      </c>
      <c r="H363" s="214"/>
      <c r="J363" s="41"/>
    </row>
    <row r="364" spans="1:10" hidden="1">
      <c r="A364" s="230">
        <v>42230</v>
      </c>
      <c r="B364" s="213"/>
      <c r="C364" s="213"/>
      <c r="D364" s="213"/>
      <c r="E364" s="214"/>
      <c r="F364" s="215">
        <v>2966.12</v>
      </c>
      <c r="G364" s="231">
        <v>57.49</v>
      </c>
      <c r="H364" s="214"/>
      <c r="J364" s="41"/>
    </row>
    <row r="365" spans="1:10" hidden="1">
      <c r="A365" s="230">
        <v>42237</v>
      </c>
      <c r="B365" s="213"/>
      <c r="C365" s="213"/>
      <c r="D365" s="213"/>
      <c r="E365" s="214"/>
      <c r="F365" s="215">
        <v>3053.65</v>
      </c>
      <c r="G365" s="231">
        <v>59.67</v>
      </c>
      <c r="H365" s="214"/>
      <c r="J365" s="41"/>
    </row>
    <row r="366" spans="1:10" hidden="1">
      <c r="A366" s="230">
        <v>42244</v>
      </c>
      <c r="B366" s="213"/>
      <c r="C366" s="213"/>
      <c r="D366" s="213"/>
      <c r="E366" s="214"/>
      <c r="F366" s="215">
        <v>3195.47</v>
      </c>
      <c r="G366" s="231">
        <v>65.83</v>
      </c>
      <c r="H366" s="214"/>
      <c r="J366" s="41"/>
    </row>
    <row r="367" spans="1:10" hidden="1">
      <c r="A367" s="230">
        <v>42251</v>
      </c>
      <c r="B367" s="213"/>
      <c r="C367" s="213"/>
      <c r="D367" s="213"/>
      <c r="E367" s="214"/>
      <c r="F367" s="215">
        <v>3119.93</v>
      </c>
      <c r="G367" s="231">
        <v>62.1</v>
      </c>
      <c r="H367" s="214"/>
      <c r="J367" s="41"/>
    </row>
    <row r="368" spans="1:10" hidden="1">
      <c r="A368" s="230">
        <v>42258</v>
      </c>
      <c r="B368" s="213"/>
      <c r="C368" s="213"/>
      <c r="D368" s="213"/>
      <c r="E368" s="214"/>
      <c r="F368" s="215">
        <v>3080.57</v>
      </c>
      <c r="G368" s="231">
        <v>55.91</v>
      </c>
      <c r="H368" s="214"/>
      <c r="J368" s="41"/>
    </row>
    <row r="369" spans="1:10" hidden="1">
      <c r="A369" s="230">
        <v>42265</v>
      </c>
      <c r="B369" s="213"/>
      <c r="C369" s="213"/>
      <c r="D369" s="213"/>
      <c r="E369" s="214"/>
      <c r="F369" s="215">
        <v>2975.13</v>
      </c>
      <c r="G369" s="231">
        <v>50.6</v>
      </c>
      <c r="H369" s="214"/>
      <c r="J369" s="41"/>
    </row>
    <row r="370" spans="1:10" hidden="1">
      <c r="A370" s="230">
        <v>42272</v>
      </c>
      <c r="B370" s="213"/>
      <c r="C370" s="213"/>
      <c r="D370" s="213"/>
      <c r="E370" s="214"/>
      <c r="F370" s="215">
        <v>3135.17</v>
      </c>
      <c r="G370" s="231">
        <v>56.17</v>
      </c>
      <c r="H370" s="214"/>
      <c r="J370" s="41"/>
    </row>
    <row r="371" spans="1:10" hidden="1">
      <c r="A371" s="230">
        <v>42279</v>
      </c>
      <c r="B371" s="213"/>
      <c r="C371" s="213"/>
      <c r="D371" s="213"/>
      <c r="E371" s="214"/>
      <c r="F371" s="215">
        <v>3061.85</v>
      </c>
      <c r="G371" s="231">
        <v>51.15</v>
      </c>
      <c r="H371" s="214"/>
      <c r="J371" s="41"/>
    </row>
    <row r="372" spans="1:10" hidden="1">
      <c r="A372" s="230">
        <v>42286</v>
      </c>
      <c r="B372" s="213"/>
      <c r="C372" s="213"/>
      <c r="D372" s="213"/>
      <c r="E372" s="214"/>
      <c r="F372" s="215">
        <v>2887.21</v>
      </c>
      <c r="G372" s="231">
        <v>41.51</v>
      </c>
      <c r="H372" s="214"/>
      <c r="J372" s="41"/>
    </row>
    <row r="373" spans="1:10" hidden="1">
      <c r="A373" s="230">
        <v>42293</v>
      </c>
      <c r="B373" s="213"/>
      <c r="C373" s="213"/>
      <c r="D373" s="213"/>
      <c r="E373" s="214"/>
      <c r="F373" s="215">
        <v>2908.87</v>
      </c>
      <c r="G373" s="231">
        <v>41.37</v>
      </c>
      <c r="H373" s="214"/>
      <c r="J373" s="41"/>
    </row>
    <row r="374" spans="1:10" hidden="1">
      <c r="A374" s="230">
        <v>42300</v>
      </c>
      <c r="B374" s="213"/>
      <c r="C374" s="213"/>
      <c r="D374" s="213"/>
      <c r="E374" s="214"/>
      <c r="F374" s="215">
        <v>2925.36</v>
      </c>
      <c r="G374" s="231">
        <v>42.71</v>
      </c>
      <c r="H374" s="214"/>
      <c r="J374" s="41"/>
    </row>
    <row r="375" spans="1:10" hidden="1">
      <c r="A375" s="230">
        <v>42307</v>
      </c>
      <c r="B375" s="213"/>
      <c r="C375" s="213"/>
      <c r="D375" s="213"/>
      <c r="E375" s="214"/>
      <c r="F375" s="215">
        <v>2921.32</v>
      </c>
      <c r="G375" s="231">
        <v>42.88</v>
      </c>
      <c r="H375" s="214"/>
      <c r="J375" s="41"/>
    </row>
    <row r="376" spans="1:10" hidden="1">
      <c r="A376" s="230">
        <v>42314</v>
      </c>
      <c r="B376" s="213"/>
      <c r="C376" s="213"/>
      <c r="D376" s="213"/>
      <c r="E376" s="214"/>
      <c r="F376" s="215">
        <v>2853.32</v>
      </c>
      <c r="G376" s="231">
        <v>37.1</v>
      </c>
      <c r="H376" s="214"/>
      <c r="J376" s="41"/>
    </row>
    <row r="377" spans="1:10" hidden="1">
      <c r="A377" s="230">
        <v>42321</v>
      </c>
      <c r="B377" s="213"/>
      <c r="C377" s="213"/>
      <c r="D377" s="213"/>
      <c r="E377" s="214"/>
      <c r="F377" s="215">
        <v>3009.36</v>
      </c>
      <c r="G377" s="231">
        <v>42.25</v>
      </c>
      <c r="H377" s="214"/>
      <c r="J377" s="41"/>
    </row>
    <row r="378" spans="1:10" hidden="1">
      <c r="A378" s="230">
        <v>42328</v>
      </c>
      <c r="B378" s="213"/>
      <c r="C378" s="213"/>
      <c r="D378" s="213"/>
      <c r="E378" s="214"/>
      <c r="F378" s="215">
        <v>3082.04</v>
      </c>
      <c r="G378" s="231">
        <v>42.9</v>
      </c>
      <c r="H378" s="214"/>
      <c r="J378" s="41"/>
    </row>
    <row r="379" spans="1:10" hidden="1">
      <c r="A379" s="230">
        <v>42335</v>
      </c>
      <c r="B379" s="213"/>
      <c r="C379" s="213"/>
      <c r="D379" s="213"/>
      <c r="E379" s="214"/>
      <c r="F379" s="215">
        <v>3099.75</v>
      </c>
      <c r="G379" s="231">
        <v>43.17</v>
      </c>
      <c r="H379" s="214"/>
      <c r="J379" s="41"/>
    </row>
    <row r="380" spans="1:10" hidden="1">
      <c r="A380" s="230">
        <v>42342</v>
      </c>
      <c r="B380" s="213"/>
      <c r="C380" s="213"/>
      <c r="D380" s="213"/>
      <c r="E380" s="214"/>
      <c r="F380" s="215">
        <v>3149.12</v>
      </c>
      <c r="G380" s="231">
        <v>37.75</v>
      </c>
      <c r="H380" s="214"/>
      <c r="J380" s="41"/>
    </row>
    <row r="381" spans="1:10" hidden="1">
      <c r="A381" s="230">
        <v>42349</v>
      </c>
      <c r="B381" s="213"/>
      <c r="C381" s="213"/>
      <c r="D381" s="213"/>
      <c r="E381" s="214"/>
      <c r="F381" s="215">
        <v>3259.56</v>
      </c>
      <c r="G381" s="231">
        <v>36.840000000000003</v>
      </c>
      <c r="H381" s="214"/>
      <c r="J381" s="41"/>
    </row>
    <row r="382" spans="1:10" hidden="1">
      <c r="A382" s="230">
        <v>42356</v>
      </c>
      <c r="B382" s="213"/>
      <c r="C382" s="213"/>
      <c r="D382" s="213"/>
      <c r="E382" s="214"/>
      <c r="F382" s="215">
        <v>3333.37</v>
      </c>
      <c r="G382" s="231">
        <v>38.15</v>
      </c>
      <c r="H382" s="214"/>
      <c r="J382" s="41"/>
    </row>
    <row r="383" spans="1:10" hidden="1">
      <c r="A383" s="230">
        <v>42363</v>
      </c>
      <c r="B383" s="213"/>
      <c r="C383" s="213"/>
      <c r="D383" s="213"/>
      <c r="E383" s="214"/>
      <c r="F383" s="215">
        <v>3172.03</v>
      </c>
      <c r="G383" s="231">
        <v>35.159999999999997</v>
      </c>
      <c r="H383" s="214"/>
      <c r="J383" s="41"/>
    </row>
    <row r="384" spans="1:10" hidden="1">
      <c r="A384" s="230">
        <v>42370</v>
      </c>
      <c r="B384" s="213"/>
      <c r="C384" s="213"/>
      <c r="D384" s="213"/>
      <c r="E384" s="214"/>
      <c r="F384" s="215">
        <v>3149.47</v>
      </c>
      <c r="G384" s="231">
        <v>31.64</v>
      </c>
      <c r="H384" s="214"/>
      <c r="J384" s="41"/>
    </row>
    <row r="385" spans="1:10" hidden="1">
      <c r="A385" s="233">
        <v>42377</v>
      </c>
      <c r="B385" s="213"/>
      <c r="C385" s="213"/>
      <c r="D385" s="213"/>
      <c r="E385" s="214"/>
      <c r="F385" s="215">
        <v>3287.28</v>
      </c>
      <c r="G385" s="231">
        <v>35.04</v>
      </c>
      <c r="H385" s="214"/>
      <c r="J385" s="41"/>
    </row>
    <row r="386" spans="1:10" hidden="1">
      <c r="A386" s="230">
        <v>42384</v>
      </c>
      <c r="B386" s="213"/>
      <c r="C386" s="213"/>
      <c r="D386" s="213"/>
      <c r="E386" s="214"/>
      <c r="F386" s="215">
        <v>3240.71</v>
      </c>
      <c r="G386" s="231">
        <v>32.880000000000003</v>
      </c>
      <c r="H386" s="214"/>
      <c r="J386" s="41"/>
    </row>
    <row r="387" spans="1:10" hidden="1">
      <c r="A387" s="233">
        <v>42391</v>
      </c>
      <c r="B387" s="213"/>
      <c r="C387" s="213"/>
      <c r="D387" s="213"/>
      <c r="E387" s="214"/>
      <c r="F387" s="215">
        <v>3368.49</v>
      </c>
      <c r="G387" s="231">
        <v>42.64</v>
      </c>
      <c r="H387" s="214"/>
      <c r="J387" s="41"/>
    </row>
    <row r="388" spans="1:10" hidden="1">
      <c r="A388" s="230">
        <v>42398</v>
      </c>
      <c r="B388" s="213"/>
      <c r="C388" s="213"/>
      <c r="D388" s="213"/>
      <c r="E388" s="214"/>
      <c r="F388" s="215">
        <v>3302.92</v>
      </c>
      <c r="G388" s="231">
        <v>39.81</v>
      </c>
      <c r="H388" s="214"/>
      <c r="J388" s="41"/>
    </row>
    <row r="389" spans="1:10" hidden="1">
      <c r="A389" s="233">
        <v>42405</v>
      </c>
      <c r="B389" s="213"/>
      <c r="C389" s="213"/>
      <c r="D389" s="213"/>
      <c r="E389" s="214"/>
      <c r="F389" s="215">
        <v>3315.75</v>
      </c>
      <c r="G389" s="231">
        <v>39.21</v>
      </c>
      <c r="H389" s="214"/>
      <c r="J389" s="41"/>
    </row>
    <row r="390" spans="1:10" hidden="1">
      <c r="A390" s="233">
        <v>42412</v>
      </c>
      <c r="B390" s="213"/>
      <c r="C390" s="213"/>
      <c r="D390" s="213"/>
      <c r="E390" s="214"/>
      <c r="F390" s="215">
        <v>3434.89</v>
      </c>
      <c r="G390" s="231">
        <v>42.14</v>
      </c>
      <c r="H390" s="214"/>
      <c r="J390" s="41"/>
    </row>
    <row r="391" spans="1:10" hidden="1">
      <c r="A391" s="233">
        <v>42419</v>
      </c>
      <c r="B391" s="213"/>
      <c r="C391" s="213"/>
      <c r="D391" s="213"/>
      <c r="E391" s="214"/>
      <c r="F391" s="215">
        <v>3338.03</v>
      </c>
      <c r="G391" s="231">
        <v>37.380000000000003</v>
      </c>
      <c r="H391" s="214"/>
      <c r="J391" s="41"/>
    </row>
    <row r="392" spans="1:10" hidden="1">
      <c r="A392" s="233">
        <v>42426</v>
      </c>
      <c r="B392" s="213"/>
      <c r="C392" s="213"/>
      <c r="D392" s="213"/>
      <c r="E392" s="214"/>
      <c r="F392" s="215">
        <v>3310.16</v>
      </c>
      <c r="G392" s="231">
        <v>32.97</v>
      </c>
      <c r="H392" s="214"/>
      <c r="J392" s="41"/>
    </row>
    <row r="393" spans="1:10" hidden="1">
      <c r="A393" s="233">
        <v>42433</v>
      </c>
      <c r="B393" s="213"/>
      <c r="C393" s="213"/>
      <c r="D393" s="213"/>
      <c r="E393" s="214"/>
      <c r="F393" s="215">
        <v>3203.03</v>
      </c>
      <c r="G393" s="231">
        <v>24.83</v>
      </c>
      <c r="H393" s="214"/>
      <c r="J393" s="41"/>
    </row>
    <row r="394" spans="1:10" hidden="1">
      <c r="A394" s="233">
        <v>42440</v>
      </c>
      <c r="B394" s="213"/>
      <c r="C394" s="213"/>
      <c r="D394" s="213"/>
      <c r="E394" s="214"/>
      <c r="F394" s="215">
        <v>3204.27</v>
      </c>
      <c r="G394" s="231">
        <v>21.67</v>
      </c>
      <c r="H394" s="214"/>
      <c r="J394" s="41"/>
    </row>
    <row r="395" spans="1:10" hidden="1">
      <c r="A395" s="233">
        <v>42447</v>
      </c>
      <c r="B395" s="213"/>
      <c r="C395" s="213"/>
      <c r="D395" s="213"/>
      <c r="E395" s="214"/>
      <c r="F395" s="215">
        <v>3087.39</v>
      </c>
      <c r="G395" s="231">
        <v>16.440000000000001</v>
      </c>
      <c r="H395" s="214"/>
      <c r="J395" s="41"/>
    </row>
    <row r="396" spans="1:10" hidden="1">
      <c r="A396" s="233">
        <v>42454</v>
      </c>
      <c r="B396" s="213"/>
      <c r="C396" s="213"/>
      <c r="D396" s="213"/>
      <c r="E396" s="214"/>
      <c r="F396" s="215">
        <v>3058.8</v>
      </c>
      <c r="G396" s="231">
        <v>20.64</v>
      </c>
      <c r="H396" s="214"/>
      <c r="J396" s="41"/>
    </row>
    <row r="397" spans="1:10" hidden="1">
      <c r="A397" s="233">
        <v>42461</v>
      </c>
      <c r="B397" s="213"/>
      <c r="C397" s="213"/>
      <c r="D397" s="213"/>
      <c r="E397" s="214"/>
      <c r="F397" s="215">
        <v>3000.63</v>
      </c>
      <c r="G397" s="231">
        <v>16.47</v>
      </c>
      <c r="H397" s="214"/>
      <c r="J397" s="41"/>
    </row>
    <row r="398" spans="1:10" hidden="1">
      <c r="A398" s="233">
        <v>42468</v>
      </c>
      <c r="B398" s="213"/>
      <c r="C398" s="213"/>
      <c r="D398" s="213"/>
      <c r="E398" s="214"/>
      <c r="F398" s="215">
        <v>3109.6</v>
      </c>
      <c r="G398" s="231">
        <v>24.84</v>
      </c>
      <c r="H398" s="214"/>
      <c r="J398" s="41"/>
    </row>
    <row r="399" spans="1:10" hidden="1">
      <c r="A399" s="233">
        <v>42475</v>
      </c>
      <c r="B399" s="213"/>
      <c r="C399" s="213"/>
      <c r="D399" s="213"/>
      <c r="E399" s="214"/>
      <c r="F399" s="215">
        <v>3000.78</v>
      </c>
      <c r="G399" s="231">
        <v>18.39</v>
      </c>
      <c r="H399" s="214"/>
      <c r="J399" s="41"/>
    </row>
    <row r="400" spans="1:10" hidden="1">
      <c r="A400" s="233">
        <v>42482</v>
      </c>
      <c r="B400" s="213"/>
      <c r="C400" s="213"/>
      <c r="D400" s="213"/>
      <c r="E400" s="214"/>
      <c r="F400" s="215">
        <v>2928.7</v>
      </c>
      <c r="G400" s="231">
        <v>17.690000000000001</v>
      </c>
      <c r="H400" s="214"/>
      <c r="J400" s="41"/>
    </row>
    <row r="401" spans="1:10" hidden="1">
      <c r="A401" s="233">
        <v>42489</v>
      </c>
      <c r="B401" s="213"/>
      <c r="C401" s="213"/>
      <c r="D401" s="213"/>
      <c r="E401" s="214"/>
      <c r="F401" s="215">
        <v>2885.72</v>
      </c>
      <c r="G401" s="231">
        <v>20.84</v>
      </c>
      <c r="H401" s="214"/>
      <c r="J401" s="41"/>
    </row>
    <row r="402" spans="1:10" hidden="1">
      <c r="A402" s="233">
        <v>42496</v>
      </c>
      <c r="B402" s="213"/>
      <c r="C402" s="213"/>
      <c r="D402" s="213"/>
      <c r="E402" s="214"/>
      <c r="F402" s="215">
        <v>2952.37</v>
      </c>
      <c r="G402" s="231">
        <v>24.97</v>
      </c>
      <c r="H402" s="214"/>
      <c r="J402" s="41"/>
    </row>
    <row r="403" spans="1:10" hidden="1">
      <c r="A403" s="233">
        <v>42503</v>
      </c>
      <c r="B403" s="213"/>
      <c r="C403" s="213"/>
      <c r="D403" s="213"/>
      <c r="E403" s="214"/>
      <c r="F403" s="215">
        <v>2934.88</v>
      </c>
      <c r="G403" s="231">
        <v>23.42</v>
      </c>
      <c r="H403" s="214"/>
      <c r="J403" s="41"/>
    </row>
    <row r="404" spans="1:10" hidden="1">
      <c r="A404" s="233">
        <v>42510</v>
      </c>
      <c r="B404" s="213"/>
      <c r="C404" s="213"/>
      <c r="D404" s="213"/>
      <c r="E404" s="214"/>
      <c r="F404" s="215">
        <v>3056.06</v>
      </c>
      <c r="G404" s="231">
        <v>22.08</v>
      </c>
      <c r="H404" s="214"/>
      <c r="J404" s="41"/>
    </row>
    <row r="405" spans="1:10" hidden="1">
      <c r="A405" s="233">
        <v>42517</v>
      </c>
      <c r="B405" s="213"/>
      <c r="C405" s="213"/>
      <c r="D405" s="213"/>
      <c r="E405" s="214"/>
      <c r="F405" s="215">
        <v>3054.6</v>
      </c>
      <c r="G405" s="231">
        <v>19.88</v>
      </c>
      <c r="H405" s="214"/>
      <c r="J405" s="41"/>
    </row>
    <row r="406" spans="1:10" hidden="1">
      <c r="A406" s="233">
        <v>42524</v>
      </c>
      <c r="B406" s="213"/>
      <c r="C406" s="213"/>
      <c r="D406" s="213"/>
      <c r="E406" s="214"/>
      <c r="F406" s="215">
        <v>3110.88</v>
      </c>
      <c r="G406" s="231">
        <v>20.96</v>
      </c>
      <c r="H406" s="214"/>
      <c r="J406" s="41"/>
    </row>
    <row r="407" spans="1:10" hidden="1">
      <c r="A407" s="233">
        <v>42531</v>
      </c>
      <c r="B407" s="213"/>
      <c r="C407" s="213"/>
      <c r="D407" s="213"/>
      <c r="E407" s="214"/>
      <c r="F407" s="215">
        <v>2942.13</v>
      </c>
      <c r="G407" s="231">
        <v>16.61</v>
      </c>
      <c r="H407" s="214"/>
      <c r="J407" s="41"/>
    </row>
    <row r="408" spans="1:10" hidden="1">
      <c r="A408" s="233">
        <v>42538</v>
      </c>
      <c r="B408" s="213"/>
      <c r="C408" s="213"/>
      <c r="D408" s="213"/>
      <c r="E408" s="214"/>
      <c r="F408" s="215">
        <v>3019.12</v>
      </c>
      <c r="G408" s="231">
        <v>18.38</v>
      </c>
      <c r="H408" s="214"/>
      <c r="J408" s="41"/>
    </row>
    <row r="409" spans="1:10" hidden="1">
      <c r="A409" s="233">
        <v>42545</v>
      </c>
      <c r="B409" s="213"/>
      <c r="C409" s="213"/>
      <c r="D409" s="213"/>
      <c r="E409" s="214"/>
      <c r="F409" s="215">
        <v>2897.53</v>
      </c>
      <c r="G409" s="231">
        <v>12.89</v>
      </c>
      <c r="H409" s="214"/>
      <c r="J409" s="41"/>
    </row>
    <row r="410" spans="1:10" hidden="1">
      <c r="A410" s="233">
        <v>42552</v>
      </c>
      <c r="B410" s="213"/>
      <c r="C410" s="213"/>
      <c r="D410" s="213"/>
      <c r="E410" s="214"/>
      <c r="F410" s="215">
        <v>2919.01</v>
      </c>
      <c r="G410" s="231">
        <v>11.12</v>
      </c>
      <c r="H410" s="214"/>
      <c r="J410" s="41"/>
    </row>
    <row r="411" spans="1:10" hidden="1">
      <c r="A411" s="233">
        <v>42559</v>
      </c>
      <c r="B411" s="213"/>
      <c r="C411" s="213"/>
      <c r="D411" s="213"/>
      <c r="E411" s="214"/>
      <c r="F411" s="215">
        <v>2986.49</v>
      </c>
      <c r="G411" s="231">
        <v>10.99</v>
      </c>
      <c r="H411" s="214"/>
      <c r="J411" s="41"/>
    </row>
    <row r="412" spans="1:10" hidden="1">
      <c r="A412" s="233">
        <v>42566</v>
      </c>
      <c r="B412" s="213"/>
      <c r="C412" s="213"/>
      <c r="D412" s="213"/>
      <c r="E412" s="214"/>
      <c r="F412" s="215">
        <v>2923.07</v>
      </c>
      <c r="G412" s="231">
        <v>7.74</v>
      </c>
      <c r="H412" s="214"/>
      <c r="J412" s="41"/>
    </row>
    <row r="413" spans="1:10" hidden="1">
      <c r="A413" s="233">
        <v>42573</v>
      </c>
      <c r="B413" s="213"/>
      <c r="C413" s="213"/>
      <c r="D413" s="213"/>
      <c r="E413" s="214"/>
      <c r="F413" s="215">
        <v>2928.67</v>
      </c>
      <c r="G413" s="231">
        <v>4.96</v>
      </c>
      <c r="H413" s="214"/>
      <c r="J413" s="41"/>
    </row>
    <row r="414" spans="1:10" hidden="1">
      <c r="A414" s="233">
        <v>42580</v>
      </c>
      <c r="B414" s="213"/>
      <c r="C414" s="213"/>
      <c r="D414" s="213"/>
      <c r="E414" s="214"/>
      <c r="F414" s="215">
        <v>3091.78</v>
      </c>
      <c r="G414" s="231">
        <v>8.2799999999999994</v>
      </c>
      <c r="H414" s="214"/>
      <c r="J414" s="41"/>
    </row>
    <row r="415" spans="1:10" hidden="1">
      <c r="A415" s="233">
        <v>42587</v>
      </c>
      <c r="B415" s="213"/>
      <c r="C415" s="213"/>
      <c r="D415" s="213"/>
      <c r="E415" s="214"/>
      <c r="F415" s="215">
        <v>3079.83</v>
      </c>
      <c r="G415" s="231">
        <v>4.54</v>
      </c>
      <c r="H415" s="214"/>
      <c r="J415" s="41"/>
    </row>
    <row r="416" spans="1:10" hidden="1">
      <c r="A416" s="233">
        <v>42594</v>
      </c>
      <c r="B416" s="213"/>
      <c r="C416" s="213"/>
      <c r="D416" s="213"/>
      <c r="E416" s="214"/>
      <c r="F416" s="215">
        <v>2911.26</v>
      </c>
      <c r="G416" s="231">
        <v>-0.9</v>
      </c>
      <c r="H416" s="214"/>
      <c r="J416" s="41"/>
    </row>
    <row r="417" spans="1:10" hidden="1">
      <c r="A417" s="233">
        <v>42601</v>
      </c>
      <c r="B417" s="213"/>
      <c r="C417" s="213"/>
      <c r="D417" s="213"/>
      <c r="E417" s="214"/>
      <c r="F417" s="215">
        <v>2884.02</v>
      </c>
      <c r="G417" s="231">
        <v>-4.7300000000000004</v>
      </c>
      <c r="H417" s="214"/>
      <c r="J417" s="41"/>
    </row>
    <row r="418" spans="1:10" hidden="1">
      <c r="A418" s="233">
        <v>42608</v>
      </c>
      <c r="B418" s="213"/>
      <c r="C418" s="213"/>
      <c r="D418" s="213"/>
      <c r="E418" s="214"/>
      <c r="F418" s="215">
        <v>2915.67</v>
      </c>
      <c r="G418" s="231">
        <v>-9.9700000000000006</v>
      </c>
      <c r="H418" s="214"/>
      <c r="J418" s="41"/>
    </row>
    <row r="419" spans="1:10" hidden="1">
      <c r="A419" s="233">
        <v>42615</v>
      </c>
      <c r="B419" s="213"/>
      <c r="C419" s="213"/>
      <c r="D419" s="213"/>
      <c r="E419" s="214"/>
      <c r="F419" s="215">
        <v>2986.36</v>
      </c>
      <c r="G419" s="231">
        <v>-4.96</v>
      </c>
      <c r="H419" s="214"/>
      <c r="J419" s="41"/>
    </row>
    <row r="420" spans="1:10" hidden="1">
      <c r="A420" s="233">
        <v>42622</v>
      </c>
      <c r="B420" s="213"/>
      <c r="C420" s="213"/>
      <c r="D420" s="213"/>
      <c r="E420" s="214"/>
      <c r="F420" s="215">
        <v>2846.13</v>
      </c>
      <c r="G420" s="231">
        <v>-8.35</v>
      </c>
      <c r="H420" s="214"/>
      <c r="J420" s="41"/>
    </row>
    <row r="421" spans="1:10" hidden="1">
      <c r="A421" s="233">
        <v>42629</v>
      </c>
      <c r="B421" s="213"/>
      <c r="C421" s="213"/>
      <c r="D421" s="213"/>
      <c r="E421" s="214"/>
      <c r="F421" s="215">
        <v>2938.5</v>
      </c>
      <c r="G421" s="231">
        <v>-1.69</v>
      </c>
      <c r="H421" s="214"/>
      <c r="J421" s="41"/>
    </row>
    <row r="422" spans="1:10" hidden="1">
      <c r="A422" s="233">
        <v>42636</v>
      </c>
      <c r="B422" s="213"/>
      <c r="C422" s="213"/>
      <c r="D422" s="213"/>
      <c r="E422" s="214"/>
      <c r="F422" s="215">
        <v>2862.52</v>
      </c>
      <c r="G422" s="231">
        <v>-7.64</v>
      </c>
      <c r="H422" s="214"/>
      <c r="J422" s="41"/>
    </row>
    <row r="423" spans="1:10" hidden="1">
      <c r="A423" s="233">
        <v>42643</v>
      </c>
      <c r="B423" s="213"/>
      <c r="C423" s="213"/>
      <c r="D423" s="213"/>
      <c r="E423" s="214"/>
      <c r="F423" s="215">
        <v>2879.95</v>
      </c>
      <c r="G423" s="231">
        <v>-6.7</v>
      </c>
      <c r="H423" s="214"/>
      <c r="J423" s="41"/>
    </row>
    <row r="424" spans="1:10" hidden="1">
      <c r="A424" s="233">
        <v>42650</v>
      </c>
      <c r="B424" s="213"/>
      <c r="C424" s="213"/>
      <c r="D424" s="213"/>
      <c r="E424" s="214"/>
      <c r="F424" s="215">
        <v>2924.8</v>
      </c>
      <c r="G424" s="231">
        <v>1.1399999999999999</v>
      </c>
      <c r="H424" s="214"/>
      <c r="J424" s="41"/>
    </row>
    <row r="425" spans="1:10" hidden="1">
      <c r="A425" s="233">
        <v>42657</v>
      </c>
      <c r="B425" s="213"/>
      <c r="C425" s="213"/>
      <c r="D425" s="213"/>
      <c r="E425" s="214"/>
      <c r="F425" s="215">
        <v>2930.78</v>
      </c>
      <c r="G425" s="231">
        <v>7.0000000000000007E-2</v>
      </c>
      <c r="H425" s="214"/>
      <c r="J425" s="41"/>
    </row>
    <row r="426" spans="1:10" hidden="1">
      <c r="A426" s="233">
        <v>42664</v>
      </c>
      <c r="B426" s="213"/>
      <c r="C426" s="213"/>
      <c r="D426" s="213"/>
      <c r="E426" s="214"/>
      <c r="F426" s="215">
        <v>2934.03</v>
      </c>
      <c r="G426" s="231">
        <v>-1.1000000000000001</v>
      </c>
      <c r="H426" s="214"/>
      <c r="J426" s="41"/>
    </row>
    <row r="427" spans="1:10" hidden="1">
      <c r="A427" s="233">
        <v>42671</v>
      </c>
      <c r="B427" s="213"/>
      <c r="C427" s="213"/>
      <c r="D427" s="213"/>
      <c r="E427" s="214"/>
      <c r="F427" s="215">
        <v>2966.61</v>
      </c>
      <c r="G427" s="231">
        <v>1.36</v>
      </c>
      <c r="H427" s="214"/>
      <c r="J427" s="41"/>
    </row>
    <row r="428" spans="1:10" hidden="1">
      <c r="A428" s="233">
        <v>42678</v>
      </c>
      <c r="B428" s="213"/>
      <c r="C428" s="213"/>
      <c r="D428" s="213"/>
      <c r="E428" s="214"/>
      <c r="F428" s="215">
        <v>3071.12</v>
      </c>
      <c r="G428" s="231">
        <v>8.92</v>
      </c>
      <c r="H428" s="214"/>
      <c r="J428" s="41"/>
    </row>
    <row r="429" spans="1:10" hidden="1">
      <c r="A429" s="233">
        <v>42685</v>
      </c>
      <c r="B429" s="213"/>
      <c r="C429" s="213"/>
      <c r="D429" s="213"/>
      <c r="E429" s="214"/>
      <c r="F429" s="215">
        <v>3100.12</v>
      </c>
      <c r="G429" s="231">
        <v>5.59</v>
      </c>
      <c r="H429" s="214"/>
      <c r="J429" s="41"/>
    </row>
    <row r="430" spans="1:10" hidden="1">
      <c r="A430" s="233">
        <v>42692</v>
      </c>
      <c r="B430" s="213"/>
      <c r="C430" s="213"/>
      <c r="D430" s="213"/>
      <c r="E430" s="214"/>
      <c r="F430" s="215">
        <v>3135.65</v>
      </c>
      <c r="G430" s="231">
        <v>0.87</v>
      </c>
      <c r="H430" s="214"/>
      <c r="J430" s="41"/>
    </row>
    <row r="431" spans="1:10" hidden="1">
      <c r="A431" s="233">
        <v>42699</v>
      </c>
      <c r="B431" s="213"/>
      <c r="C431" s="213"/>
      <c r="D431" s="213"/>
      <c r="E431" s="214"/>
      <c r="F431" s="215">
        <v>3187.97</v>
      </c>
      <c r="G431" s="231">
        <v>2.85</v>
      </c>
      <c r="H431" s="214"/>
      <c r="J431" s="41"/>
    </row>
    <row r="432" spans="1:10" hidden="1">
      <c r="A432" s="233">
        <v>42706</v>
      </c>
      <c r="B432" s="213"/>
      <c r="C432" s="213"/>
      <c r="D432" s="213"/>
      <c r="E432" s="214"/>
      <c r="F432" s="215">
        <v>3068.34</v>
      </c>
      <c r="G432" s="231">
        <v>-3.11</v>
      </c>
      <c r="H432" s="214"/>
      <c r="J432" s="41"/>
    </row>
    <row r="433" spans="1:10" hidden="1">
      <c r="A433" s="233">
        <v>42713</v>
      </c>
      <c r="B433" s="213"/>
      <c r="C433" s="213"/>
      <c r="D433" s="213"/>
      <c r="E433" s="214"/>
      <c r="F433" s="215">
        <v>2989.71</v>
      </c>
      <c r="G433" s="231">
        <v>-9.24</v>
      </c>
      <c r="H433" s="214"/>
      <c r="J433" s="41"/>
    </row>
    <row r="434" spans="1:10" hidden="1">
      <c r="A434" s="233">
        <v>42720</v>
      </c>
      <c r="B434" s="213"/>
      <c r="C434" s="213"/>
      <c r="D434" s="213"/>
      <c r="E434" s="214"/>
      <c r="F434" s="215">
        <v>3000.47</v>
      </c>
      <c r="G434" s="231">
        <v>-9.56</v>
      </c>
      <c r="H434" s="214"/>
      <c r="J434" s="41"/>
    </row>
    <row r="435" spans="1:10" hidden="1">
      <c r="A435" s="233">
        <v>42727</v>
      </c>
      <c r="B435" s="213"/>
      <c r="C435" s="213"/>
      <c r="D435" s="213"/>
      <c r="E435" s="214"/>
      <c r="F435" s="215">
        <v>2996.03</v>
      </c>
      <c r="G435" s="231">
        <v>-7.96</v>
      </c>
      <c r="H435" s="214"/>
      <c r="J435" s="41"/>
    </row>
    <row r="436" spans="1:10" hidden="1">
      <c r="A436" s="233">
        <v>42734</v>
      </c>
      <c r="B436" s="213"/>
      <c r="C436" s="213"/>
      <c r="D436" s="213"/>
      <c r="E436" s="214"/>
      <c r="F436" s="215">
        <v>3000.71</v>
      </c>
      <c r="G436" s="231">
        <v>-4.72</v>
      </c>
      <c r="H436" s="214"/>
      <c r="J436" s="41"/>
    </row>
    <row r="437" spans="1:10" hidden="1">
      <c r="A437" s="233">
        <v>42741</v>
      </c>
      <c r="B437" s="213"/>
      <c r="C437" s="213"/>
      <c r="D437" s="213"/>
      <c r="E437" s="214"/>
      <c r="F437" s="215">
        <v>2941.08</v>
      </c>
      <c r="G437" s="231">
        <v>-9.52</v>
      </c>
      <c r="H437" s="214"/>
      <c r="J437" s="41"/>
    </row>
    <row r="438" spans="1:10" hidden="1">
      <c r="A438" s="233">
        <v>42748</v>
      </c>
      <c r="B438" s="213"/>
      <c r="C438" s="213"/>
      <c r="D438" s="213"/>
      <c r="E438" s="214"/>
      <c r="F438" s="215">
        <v>2930.19</v>
      </c>
      <c r="G438" s="231">
        <v>-9.43</v>
      </c>
      <c r="H438" s="214"/>
      <c r="J438" s="41"/>
    </row>
    <row r="439" spans="1:10" hidden="1">
      <c r="A439" s="233">
        <v>42755</v>
      </c>
      <c r="B439" s="213"/>
      <c r="C439" s="213"/>
      <c r="D439" s="213"/>
      <c r="E439" s="214"/>
      <c r="F439" s="215">
        <v>2938.24</v>
      </c>
      <c r="G439" s="231">
        <v>-12.49</v>
      </c>
      <c r="H439" s="214"/>
      <c r="J439" s="41"/>
    </row>
    <row r="440" spans="1:10" hidden="1">
      <c r="A440" s="233">
        <v>42762</v>
      </c>
      <c r="B440" s="213"/>
      <c r="C440" s="213"/>
      <c r="D440" s="213"/>
      <c r="E440" s="214"/>
      <c r="F440" s="215">
        <v>2936.72</v>
      </c>
      <c r="G440" s="231">
        <v>-12.77</v>
      </c>
      <c r="H440" s="214"/>
      <c r="J440" s="41"/>
    </row>
    <row r="441" spans="1:10" hidden="1">
      <c r="A441" s="233">
        <v>42769</v>
      </c>
      <c r="B441" s="213"/>
      <c r="C441" s="213"/>
      <c r="D441" s="213"/>
      <c r="E441" s="214"/>
      <c r="F441" s="215">
        <v>2882.2</v>
      </c>
      <c r="G441" s="231">
        <v>-14.78</v>
      </c>
      <c r="H441" s="214"/>
      <c r="J441" s="41"/>
    </row>
    <row r="442" spans="1:10" hidden="1">
      <c r="A442" s="233">
        <v>42776</v>
      </c>
      <c r="B442" s="213"/>
      <c r="C442" s="213"/>
      <c r="D442" s="213"/>
      <c r="E442" s="214"/>
      <c r="F442" s="215">
        <v>2862.63</v>
      </c>
      <c r="G442" s="231">
        <v>-15.45</v>
      </c>
      <c r="H442" s="214"/>
      <c r="J442" s="41"/>
    </row>
    <row r="443" spans="1:10" hidden="1">
      <c r="A443" s="233">
        <v>42783</v>
      </c>
      <c r="B443" s="213"/>
      <c r="C443" s="213"/>
      <c r="D443" s="213"/>
      <c r="E443" s="214"/>
      <c r="F443" s="215">
        <v>2875.68</v>
      </c>
      <c r="G443" s="231">
        <v>-15.22</v>
      </c>
      <c r="H443" s="214"/>
      <c r="J443" s="41"/>
    </row>
    <row r="444" spans="1:10" hidden="1">
      <c r="A444" s="233">
        <v>42790</v>
      </c>
      <c r="B444" s="213"/>
      <c r="C444" s="213"/>
      <c r="D444" s="213"/>
      <c r="E444" s="214"/>
      <c r="F444" s="215">
        <v>2871.67</v>
      </c>
      <c r="G444" s="231">
        <v>-14.07</v>
      </c>
      <c r="H444" s="214"/>
      <c r="J444" s="41"/>
    </row>
    <row r="445" spans="1:10" hidden="1">
      <c r="A445" s="233">
        <v>42797</v>
      </c>
      <c r="B445" s="213"/>
      <c r="C445" s="213"/>
      <c r="D445" s="213"/>
      <c r="E445" s="214"/>
      <c r="F445" s="215">
        <v>2960.91</v>
      </c>
      <c r="G445" s="231">
        <v>-7.63</v>
      </c>
      <c r="H445" s="214"/>
      <c r="J445" s="41"/>
    </row>
    <row r="446" spans="1:10" hidden="1">
      <c r="A446" s="233">
        <v>42804</v>
      </c>
      <c r="B446" s="213"/>
      <c r="C446" s="213"/>
      <c r="D446" s="213"/>
      <c r="E446" s="214"/>
      <c r="F446" s="215">
        <v>3004.43</v>
      </c>
      <c r="G446" s="231">
        <v>-5.89</v>
      </c>
      <c r="H446" s="214"/>
      <c r="J446" s="41"/>
    </row>
    <row r="447" spans="1:10" hidden="1">
      <c r="A447" s="233">
        <v>42811</v>
      </c>
      <c r="B447" s="213"/>
      <c r="C447" s="213"/>
      <c r="D447" s="213"/>
      <c r="E447" s="214"/>
      <c r="F447" s="215">
        <v>2923.96</v>
      </c>
      <c r="G447" s="231">
        <v>-7.35</v>
      </c>
      <c r="H447" s="214"/>
      <c r="J447" s="41"/>
    </row>
    <row r="448" spans="1:10" hidden="1">
      <c r="A448" s="233">
        <v>42818</v>
      </c>
      <c r="B448" s="213"/>
      <c r="C448" s="213"/>
      <c r="D448" s="213"/>
      <c r="E448" s="214"/>
      <c r="F448" s="215">
        <v>2921.25</v>
      </c>
      <c r="G448" s="231">
        <v>-4.5</v>
      </c>
      <c r="H448" s="214"/>
      <c r="J448" s="41"/>
    </row>
    <row r="449" spans="1:10" hidden="1">
      <c r="A449" s="233">
        <v>42825</v>
      </c>
      <c r="B449" s="213"/>
      <c r="C449" s="213"/>
      <c r="D449" s="213"/>
      <c r="E449" s="214"/>
      <c r="F449" s="215">
        <v>2880.24</v>
      </c>
      <c r="G449" s="231">
        <v>-4.7</v>
      </c>
      <c r="H449" s="214"/>
      <c r="J449" s="41"/>
    </row>
    <row r="450" spans="1:10" hidden="1">
      <c r="A450" s="233">
        <v>42832</v>
      </c>
      <c r="B450" s="213"/>
      <c r="C450" s="213"/>
      <c r="D450" s="213"/>
      <c r="E450" s="214"/>
      <c r="F450" s="215">
        <v>2853.1</v>
      </c>
      <c r="G450" s="231">
        <v>-7.41</v>
      </c>
      <c r="H450" s="214"/>
      <c r="J450" s="41"/>
    </row>
    <row r="451" spans="1:10" hidden="1">
      <c r="A451" s="233">
        <v>42839</v>
      </c>
      <c r="B451" s="213"/>
      <c r="C451" s="213"/>
      <c r="D451" s="213"/>
      <c r="E451" s="214"/>
      <c r="F451" s="215">
        <v>2872.55</v>
      </c>
      <c r="G451" s="231">
        <v>-4.45</v>
      </c>
      <c r="H451" s="214"/>
      <c r="J451" s="41"/>
    </row>
    <row r="452" spans="1:10" hidden="1">
      <c r="A452" s="233">
        <v>42846</v>
      </c>
      <c r="B452" s="213"/>
      <c r="C452" s="213"/>
      <c r="D452" s="213"/>
      <c r="E452" s="214"/>
      <c r="F452" s="215">
        <v>2863.39</v>
      </c>
      <c r="G452" s="231">
        <v>-1.26</v>
      </c>
      <c r="H452" s="214"/>
      <c r="J452" s="41"/>
    </row>
    <row r="453" spans="1:10" hidden="1">
      <c r="A453" s="233">
        <v>42853</v>
      </c>
      <c r="B453" s="213"/>
      <c r="C453" s="213"/>
      <c r="D453" s="213"/>
      <c r="E453" s="214"/>
      <c r="F453" s="215">
        <v>2944.31</v>
      </c>
      <c r="G453" s="231">
        <v>0.04</v>
      </c>
      <c r="H453" s="214"/>
      <c r="J453" s="41"/>
    </row>
    <row r="454" spans="1:10" hidden="1">
      <c r="A454" s="233">
        <v>42860</v>
      </c>
      <c r="B454" s="213"/>
      <c r="C454" s="213"/>
      <c r="D454" s="213"/>
      <c r="E454" s="214"/>
      <c r="F454" s="215">
        <v>2967.44</v>
      </c>
      <c r="G454" s="231">
        <v>0.86</v>
      </c>
      <c r="H454" s="214"/>
      <c r="J454" s="41"/>
    </row>
    <row r="455" spans="1:10" hidden="1">
      <c r="A455" s="233">
        <v>42867</v>
      </c>
      <c r="B455" s="213"/>
      <c r="C455" s="213"/>
      <c r="D455" s="213"/>
      <c r="E455" s="214"/>
      <c r="F455" s="215">
        <v>2933.92</v>
      </c>
      <c r="G455" s="231">
        <v>-0.77</v>
      </c>
      <c r="H455" s="214"/>
      <c r="J455" s="41"/>
    </row>
    <row r="456" spans="1:10" hidden="1">
      <c r="A456" s="233">
        <v>42874</v>
      </c>
      <c r="B456" s="213"/>
      <c r="C456" s="213"/>
      <c r="D456" s="213"/>
      <c r="E456" s="214"/>
      <c r="F456" s="215">
        <v>2932.16</v>
      </c>
      <c r="G456" s="231">
        <v>-3.28</v>
      </c>
      <c r="H456" s="214"/>
      <c r="J456" s="41"/>
    </row>
    <row r="457" spans="1:10" hidden="1">
      <c r="A457" s="233">
        <v>42881</v>
      </c>
      <c r="B457" s="213"/>
      <c r="C457" s="213"/>
      <c r="D457" s="213"/>
      <c r="E457" s="214"/>
      <c r="F457" s="215">
        <v>2911.66</v>
      </c>
      <c r="G457" s="231">
        <v>-4.91</v>
      </c>
      <c r="H457" s="214"/>
      <c r="J457" s="41"/>
    </row>
    <row r="458" spans="1:10" hidden="1">
      <c r="A458" s="233">
        <v>42888</v>
      </c>
      <c r="B458" s="213"/>
      <c r="C458" s="213"/>
      <c r="D458" s="213"/>
      <c r="E458" s="214"/>
      <c r="F458" s="215">
        <v>2895.73</v>
      </c>
      <c r="G458" s="231">
        <v>-7.12</v>
      </c>
      <c r="H458" s="214"/>
      <c r="J458" s="41"/>
    </row>
    <row r="459" spans="1:10" hidden="1">
      <c r="A459" s="233">
        <v>42895</v>
      </c>
      <c r="B459" s="213"/>
      <c r="C459" s="213"/>
      <c r="D459" s="213"/>
      <c r="E459" s="214"/>
      <c r="F459" s="215">
        <v>2919.82</v>
      </c>
      <c r="G459" s="231">
        <v>0.5</v>
      </c>
      <c r="H459" s="214"/>
      <c r="J459" s="41"/>
    </row>
    <row r="460" spans="1:10" hidden="1">
      <c r="A460" s="233">
        <v>42902</v>
      </c>
      <c r="B460" s="213"/>
      <c r="C460" s="213"/>
      <c r="D460" s="213"/>
      <c r="E460" s="214"/>
      <c r="F460" s="215">
        <v>2953.83</v>
      </c>
      <c r="G460" s="231">
        <v>-1.2</v>
      </c>
      <c r="H460" s="214"/>
      <c r="J460" s="41"/>
    </row>
    <row r="461" spans="1:10" hidden="1">
      <c r="A461" s="233">
        <v>42909</v>
      </c>
      <c r="B461" s="213"/>
      <c r="C461" s="213"/>
      <c r="D461" s="213"/>
      <c r="E461" s="214"/>
      <c r="F461" s="215">
        <v>3035.83</v>
      </c>
      <c r="G461" s="231">
        <v>3.12</v>
      </c>
      <c r="H461" s="214"/>
      <c r="J461" s="41"/>
    </row>
    <row r="462" spans="1:10" hidden="1">
      <c r="A462" s="233">
        <v>42916</v>
      </c>
      <c r="B462" s="213"/>
      <c r="C462" s="213"/>
      <c r="D462" s="213"/>
      <c r="E462" s="214"/>
      <c r="F462" s="215">
        <v>3038.26</v>
      </c>
      <c r="G462" s="231">
        <v>4.1900000000000004</v>
      </c>
      <c r="H462" s="214"/>
      <c r="J462" s="41"/>
    </row>
    <row r="463" spans="1:10" hidden="1">
      <c r="A463" s="233">
        <v>42923</v>
      </c>
      <c r="B463" s="213"/>
      <c r="C463" s="213"/>
      <c r="D463" s="213"/>
      <c r="E463" s="214"/>
      <c r="F463" s="215">
        <v>3084.19</v>
      </c>
      <c r="G463" s="231">
        <v>2.7</v>
      </c>
      <c r="H463" s="214"/>
      <c r="J463" s="41"/>
    </row>
    <row r="464" spans="1:10" hidden="1">
      <c r="A464" s="233">
        <v>42930</v>
      </c>
      <c r="B464" s="213"/>
      <c r="C464" s="213"/>
      <c r="D464" s="213"/>
      <c r="E464" s="214"/>
      <c r="F464" s="215">
        <v>3043.6</v>
      </c>
      <c r="G464" s="231">
        <v>3.65</v>
      </c>
      <c r="H464" s="214"/>
      <c r="J464" s="41"/>
    </row>
    <row r="465" spans="1:10" hidden="1">
      <c r="A465" s="233">
        <v>42937</v>
      </c>
      <c r="B465" s="213"/>
      <c r="C465" s="213"/>
      <c r="D465" s="213"/>
      <c r="E465" s="214"/>
      <c r="F465" s="215">
        <v>3010</v>
      </c>
      <c r="G465" s="231">
        <v>2.69</v>
      </c>
      <c r="H465" s="214"/>
      <c r="J465" s="41"/>
    </row>
    <row r="466" spans="1:10" hidden="1">
      <c r="A466" s="233">
        <v>42944</v>
      </c>
      <c r="B466" s="213"/>
      <c r="C466" s="213"/>
      <c r="D466" s="213"/>
      <c r="E466" s="214"/>
      <c r="F466" s="215">
        <v>3002.94</v>
      </c>
      <c r="G466" s="231">
        <v>-2.2999999999999998</v>
      </c>
      <c r="H466" s="214"/>
      <c r="J466" s="41"/>
    </row>
    <row r="467" spans="1:10" hidden="1">
      <c r="A467" s="233">
        <v>42951</v>
      </c>
      <c r="B467" s="213"/>
      <c r="C467" s="213"/>
      <c r="D467" s="213"/>
      <c r="E467" s="214"/>
      <c r="F467" s="215">
        <v>2954.54</v>
      </c>
      <c r="G467" s="231">
        <v>-5.01</v>
      </c>
      <c r="H467" s="214"/>
      <c r="J467" s="41"/>
    </row>
    <row r="468" spans="1:10" hidden="1">
      <c r="A468" s="233">
        <v>42958</v>
      </c>
      <c r="B468" s="213"/>
      <c r="C468" s="213"/>
      <c r="D468" s="213"/>
      <c r="E468" s="214"/>
      <c r="F468" s="215">
        <v>2994.85</v>
      </c>
      <c r="G468" s="231">
        <v>1.35</v>
      </c>
      <c r="H468" s="214"/>
      <c r="J468" s="41"/>
    </row>
    <row r="469" spans="1:10" hidden="1">
      <c r="A469" s="233">
        <v>42965</v>
      </c>
      <c r="B469" s="213"/>
      <c r="C469" s="213"/>
      <c r="D469" s="213"/>
      <c r="E469" s="214"/>
      <c r="F469" s="215">
        <v>2980.03</v>
      </c>
      <c r="G469" s="231">
        <v>2.12</v>
      </c>
      <c r="H469" s="214"/>
      <c r="J469" s="41"/>
    </row>
    <row r="470" spans="1:10" hidden="1">
      <c r="A470" s="233">
        <v>42972</v>
      </c>
      <c r="B470" s="213"/>
      <c r="C470" s="213"/>
      <c r="D470" s="213"/>
      <c r="E470" s="214"/>
      <c r="F470" s="215">
        <v>2972.98</v>
      </c>
      <c r="G470" s="231">
        <v>1.18</v>
      </c>
      <c r="H470" s="214"/>
      <c r="J470" s="41"/>
    </row>
    <row r="471" spans="1:10" hidden="1">
      <c r="A471" s="233">
        <v>42979</v>
      </c>
      <c r="B471" s="213"/>
      <c r="C471" s="213"/>
      <c r="D471" s="213"/>
      <c r="E471" s="214"/>
      <c r="F471" s="215">
        <v>2948.09</v>
      </c>
      <c r="G471" s="231">
        <v>-0.28999999999999998</v>
      </c>
      <c r="H471" s="214"/>
      <c r="J471" s="41"/>
    </row>
    <row r="472" spans="1:10" hidden="1">
      <c r="A472" s="233">
        <v>42986</v>
      </c>
      <c r="B472" s="213"/>
      <c r="C472" s="213"/>
      <c r="D472" s="213"/>
      <c r="E472" s="214"/>
      <c r="F472" s="215">
        <v>2907.96</v>
      </c>
      <c r="G472" s="231">
        <v>2.38</v>
      </c>
      <c r="H472" s="214"/>
      <c r="J472" s="41"/>
    </row>
    <row r="473" spans="1:10" hidden="1">
      <c r="A473" s="233">
        <v>42993</v>
      </c>
      <c r="B473" s="213"/>
      <c r="C473" s="213"/>
      <c r="D473" s="213"/>
      <c r="E473" s="214"/>
      <c r="F473" s="215">
        <v>2905.98</v>
      </c>
      <c r="G473" s="231">
        <v>-2.2400000000000002</v>
      </c>
      <c r="H473" s="214"/>
      <c r="J473" s="41"/>
    </row>
    <row r="474" spans="1:10" hidden="1">
      <c r="A474" s="233">
        <v>43000</v>
      </c>
      <c r="B474" s="213"/>
      <c r="C474" s="213"/>
      <c r="D474" s="213"/>
      <c r="E474" s="214"/>
      <c r="F474" s="215">
        <v>2913.96</v>
      </c>
      <c r="G474" s="231">
        <v>0.68</v>
      </c>
      <c r="H474" s="214"/>
      <c r="J474" s="41"/>
    </row>
    <row r="475" spans="1:10" hidden="1">
      <c r="A475" s="233">
        <v>43007</v>
      </c>
      <c r="B475" s="213"/>
      <c r="C475" s="213"/>
      <c r="D475" s="213"/>
      <c r="E475" s="214"/>
      <c r="F475" s="215">
        <v>2941.07</v>
      </c>
      <c r="G475" s="231">
        <v>0.93</v>
      </c>
      <c r="H475" s="214"/>
      <c r="J475" s="41"/>
    </row>
    <row r="476" spans="1:10" hidden="1">
      <c r="A476" s="233">
        <v>43014</v>
      </c>
      <c r="B476" s="213"/>
      <c r="C476" s="213"/>
      <c r="D476" s="213"/>
      <c r="E476" s="214"/>
      <c r="F476" s="215">
        <v>2926.82</v>
      </c>
      <c r="G476" s="231">
        <v>-1.29</v>
      </c>
      <c r="H476" s="214"/>
      <c r="J476" s="41"/>
    </row>
    <row r="477" spans="1:10" hidden="1">
      <c r="A477" s="233">
        <v>43021</v>
      </c>
      <c r="B477" s="213"/>
      <c r="C477" s="213"/>
      <c r="D477" s="213"/>
      <c r="E477" s="214"/>
      <c r="F477" s="215">
        <v>2949.69</v>
      </c>
      <c r="G477" s="231">
        <v>1.05</v>
      </c>
      <c r="H477" s="214"/>
      <c r="J477" s="41"/>
    </row>
    <row r="478" spans="1:10" hidden="1">
      <c r="A478" s="233">
        <v>43028</v>
      </c>
      <c r="B478" s="213"/>
      <c r="C478" s="213"/>
      <c r="D478" s="213"/>
      <c r="E478" s="214"/>
      <c r="F478" s="215">
        <v>2921.92</v>
      </c>
      <c r="G478" s="231">
        <v>0.27</v>
      </c>
      <c r="H478" s="214"/>
      <c r="J478" s="41"/>
    </row>
    <row r="479" spans="1:10" hidden="1">
      <c r="A479" s="233">
        <v>43035</v>
      </c>
      <c r="B479" s="213"/>
      <c r="C479" s="213"/>
      <c r="D479" s="213"/>
      <c r="E479" s="214"/>
      <c r="F479" s="215">
        <v>3008.8</v>
      </c>
      <c r="G479" s="231">
        <v>1.47</v>
      </c>
      <c r="H479" s="214"/>
      <c r="J479" s="41"/>
    </row>
    <row r="480" spans="1:10" hidden="1">
      <c r="A480" s="233">
        <v>43042</v>
      </c>
      <c r="B480" s="213"/>
      <c r="C480" s="213"/>
      <c r="D480" s="213"/>
      <c r="E480" s="214"/>
      <c r="F480" s="215">
        <v>3054.38</v>
      </c>
      <c r="G480" s="231">
        <v>-0.53</v>
      </c>
      <c r="H480" s="214"/>
      <c r="J480" s="41"/>
    </row>
    <row r="481" spans="1:10" hidden="1">
      <c r="A481" s="233">
        <v>43049</v>
      </c>
      <c r="B481" s="213"/>
      <c r="C481" s="213"/>
      <c r="D481" s="213"/>
      <c r="E481" s="214"/>
      <c r="F481" s="215">
        <v>3015.52</v>
      </c>
      <c r="G481" s="231">
        <v>0.11</v>
      </c>
      <c r="H481" s="214"/>
      <c r="J481" s="41"/>
    </row>
    <row r="482" spans="1:10" hidden="1">
      <c r="A482" s="233">
        <v>43056</v>
      </c>
      <c r="B482" s="213"/>
      <c r="C482" s="213"/>
      <c r="D482" s="213"/>
      <c r="E482" s="214"/>
      <c r="F482" s="215">
        <v>3015.79</v>
      </c>
      <c r="G482" s="231">
        <v>-3.68</v>
      </c>
      <c r="H482" s="214"/>
      <c r="J482" s="41"/>
    </row>
    <row r="483" spans="1:10" hidden="1">
      <c r="A483" s="233">
        <v>43063</v>
      </c>
      <c r="B483" s="213"/>
      <c r="C483" s="213"/>
      <c r="D483" s="213"/>
      <c r="E483" s="214"/>
      <c r="F483" s="215">
        <v>2982.73</v>
      </c>
      <c r="G483" s="231">
        <v>-6.44</v>
      </c>
      <c r="H483" s="214"/>
      <c r="J483" s="41"/>
    </row>
    <row r="484" spans="1:10" hidden="1">
      <c r="A484" s="233">
        <v>43070</v>
      </c>
      <c r="B484" s="213"/>
      <c r="C484" s="213"/>
      <c r="D484" s="213"/>
      <c r="E484" s="214"/>
      <c r="F484" s="215">
        <v>3006.04</v>
      </c>
      <c r="G484" s="231">
        <v>-2.58</v>
      </c>
      <c r="H484" s="214"/>
      <c r="J484" s="41"/>
    </row>
    <row r="485" spans="1:10" hidden="1">
      <c r="A485" s="233">
        <v>43077</v>
      </c>
      <c r="B485" s="213"/>
      <c r="C485" s="213"/>
      <c r="D485" s="213"/>
      <c r="E485" s="214"/>
      <c r="F485" s="215">
        <v>3016.18</v>
      </c>
      <c r="G485" s="231">
        <v>0.89</v>
      </c>
      <c r="H485" s="214"/>
      <c r="J485" s="41"/>
    </row>
    <row r="486" spans="1:10" hidden="1">
      <c r="A486" s="233">
        <v>43084</v>
      </c>
      <c r="B486" s="213"/>
      <c r="C486" s="213"/>
      <c r="D486" s="213"/>
      <c r="E486" s="214"/>
      <c r="F486" s="215">
        <v>2999.07</v>
      </c>
      <c r="G486" s="231">
        <v>1.1599999999999999</v>
      </c>
      <c r="H486" s="214"/>
      <c r="J486" s="41"/>
    </row>
    <row r="487" spans="1:10" hidden="1">
      <c r="A487" s="233">
        <v>43091</v>
      </c>
      <c r="B487" s="213"/>
      <c r="C487" s="213"/>
      <c r="D487" s="213"/>
      <c r="E487" s="214"/>
      <c r="F487" s="215">
        <v>2963.58</v>
      </c>
      <c r="G487" s="231">
        <v>-0.86</v>
      </c>
      <c r="H487" s="214"/>
      <c r="J487" s="41"/>
    </row>
    <row r="488" spans="1:10" hidden="1">
      <c r="A488" s="233">
        <v>43098</v>
      </c>
      <c r="B488" s="213"/>
      <c r="C488" s="213"/>
      <c r="D488" s="213"/>
      <c r="E488" s="214"/>
      <c r="F488" s="218">
        <v>2984</v>
      </c>
      <c r="G488" s="234">
        <v>-1.18</v>
      </c>
      <c r="H488" s="214"/>
      <c r="J488" s="41"/>
    </row>
    <row r="489" spans="1:10" hidden="1">
      <c r="A489" s="233">
        <v>43105</v>
      </c>
      <c r="B489" s="213"/>
      <c r="C489" s="213"/>
      <c r="D489" s="213"/>
      <c r="E489" s="214"/>
      <c r="F489" s="218">
        <v>2885.76</v>
      </c>
      <c r="G489" s="234">
        <v>-2.68</v>
      </c>
      <c r="H489" s="214"/>
      <c r="J489" s="41"/>
    </row>
    <row r="490" spans="1:10" hidden="1">
      <c r="A490" s="233">
        <v>43112</v>
      </c>
      <c r="B490" s="213"/>
      <c r="C490" s="213"/>
      <c r="D490" s="213"/>
      <c r="E490" s="214"/>
      <c r="F490" s="218">
        <v>2865.79</v>
      </c>
      <c r="G490" s="234">
        <v>-3.86</v>
      </c>
      <c r="H490" s="214"/>
      <c r="J490" s="41"/>
    </row>
    <row r="491" spans="1:10" hidden="1">
      <c r="A491" s="233">
        <v>43119</v>
      </c>
      <c r="B491" s="213"/>
      <c r="C491" s="213"/>
      <c r="D491" s="213"/>
      <c r="E491" s="214"/>
      <c r="F491" s="218">
        <v>2836.85</v>
      </c>
      <c r="G491" s="234">
        <v>-3.33</v>
      </c>
      <c r="H491" s="214"/>
      <c r="J491" s="41"/>
    </row>
    <row r="492" spans="1:10" hidden="1">
      <c r="A492" s="233">
        <v>43126</v>
      </c>
      <c r="B492" s="213"/>
      <c r="C492" s="213"/>
      <c r="D492" s="213"/>
      <c r="E492" s="214"/>
      <c r="F492" s="218">
        <v>2783.13</v>
      </c>
      <c r="G492" s="234">
        <v>-4.93</v>
      </c>
      <c r="H492" s="214"/>
      <c r="J492" s="41"/>
    </row>
    <row r="493" spans="1:10" hidden="1">
      <c r="A493" s="233">
        <v>43133</v>
      </c>
      <c r="B493" s="213"/>
      <c r="C493" s="213"/>
      <c r="D493" s="213"/>
      <c r="E493" s="214"/>
      <c r="F493" s="218">
        <v>2806.67</v>
      </c>
      <c r="G493" s="234">
        <v>-3.44</v>
      </c>
      <c r="H493" s="214"/>
      <c r="J493" s="41"/>
    </row>
    <row r="494" spans="1:10" hidden="1">
      <c r="A494" s="233">
        <v>43140</v>
      </c>
      <c r="B494" s="213"/>
      <c r="C494" s="213"/>
      <c r="D494" s="213"/>
      <c r="E494" s="214"/>
      <c r="F494" s="218">
        <v>2862.78</v>
      </c>
      <c r="G494" s="234">
        <v>-0.57999999999999996</v>
      </c>
      <c r="H494" s="214"/>
      <c r="J494" s="41"/>
    </row>
    <row r="495" spans="1:10" hidden="1">
      <c r="A495" s="233">
        <v>43147</v>
      </c>
      <c r="B495" s="213"/>
      <c r="C495" s="213"/>
      <c r="D495" s="213"/>
      <c r="E495" s="214"/>
      <c r="F495" s="218">
        <v>2851.74</v>
      </c>
      <c r="G495" s="234">
        <v>-0.84</v>
      </c>
      <c r="H495" s="214"/>
      <c r="J495" s="41"/>
    </row>
    <row r="496" spans="1:10" hidden="1">
      <c r="A496" s="233">
        <v>43154</v>
      </c>
      <c r="B496" s="213"/>
      <c r="C496" s="213"/>
      <c r="D496" s="213"/>
      <c r="E496" s="214"/>
      <c r="F496" s="218">
        <v>2877.04</v>
      </c>
      <c r="G496" s="234">
        <v>-0.56999999999999995</v>
      </c>
      <c r="H496" s="214"/>
      <c r="J496" s="41"/>
    </row>
    <row r="497" spans="1:10" hidden="1">
      <c r="A497" s="233">
        <v>43161</v>
      </c>
      <c r="B497" s="213"/>
      <c r="C497" s="213"/>
      <c r="D497" s="213"/>
      <c r="E497" s="214"/>
      <c r="F497" s="218">
        <v>2879.05</v>
      </c>
      <c r="G497" s="234">
        <v>-1.93</v>
      </c>
      <c r="H497" s="214"/>
      <c r="J497" s="41"/>
    </row>
    <row r="498" spans="1:10" hidden="1">
      <c r="A498" s="233">
        <v>43168</v>
      </c>
      <c r="B498" s="213"/>
      <c r="C498" s="213"/>
      <c r="D498" s="213"/>
      <c r="E498" s="214"/>
      <c r="F498" s="218">
        <v>2871.36</v>
      </c>
      <c r="G498" s="234">
        <v>-3.9</v>
      </c>
      <c r="H498" s="214"/>
      <c r="J498" s="41"/>
    </row>
    <row r="499" spans="1:10" hidden="1">
      <c r="A499" s="233">
        <v>43175</v>
      </c>
      <c r="B499" s="213"/>
      <c r="C499" s="213"/>
      <c r="D499" s="213"/>
      <c r="E499" s="214"/>
      <c r="F499" s="218">
        <v>2850.04</v>
      </c>
      <c r="G499" s="234">
        <v>-4.12</v>
      </c>
      <c r="H499" s="214"/>
      <c r="J499" s="41"/>
    </row>
    <row r="500" spans="1:10" hidden="1">
      <c r="A500" s="233">
        <v>43182</v>
      </c>
      <c r="B500" s="213"/>
      <c r="C500" s="213"/>
      <c r="D500" s="213"/>
      <c r="E500" s="214"/>
      <c r="F500" s="218">
        <v>2857.88</v>
      </c>
      <c r="G500" s="234">
        <v>-2.69</v>
      </c>
      <c r="H500" s="214"/>
      <c r="J500" s="41"/>
    </row>
    <row r="501" spans="1:10" hidden="1">
      <c r="A501" s="233">
        <v>43189</v>
      </c>
      <c r="B501" s="213"/>
      <c r="C501" s="213"/>
      <c r="D501" s="213"/>
      <c r="E501" s="214"/>
      <c r="F501" s="218">
        <v>2780.47</v>
      </c>
      <c r="G501" s="234">
        <v>-3.72</v>
      </c>
      <c r="H501" s="214"/>
      <c r="J501" s="41"/>
    </row>
    <row r="502" spans="1:10" hidden="1">
      <c r="A502" s="233">
        <v>43196</v>
      </c>
      <c r="B502" s="213"/>
      <c r="C502" s="213"/>
      <c r="D502" s="213"/>
      <c r="E502" s="214"/>
      <c r="F502" s="218">
        <v>2787.36</v>
      </c>
      <c r="G502" s="234">
        <v>-2.46</v>
      </c>
      <c r="H502" s="214"/>
      <c r="J502" s="41"/>
    </row>
    <row r="503" spans="1:10" hidden="1">
      <c r="A503" s="233">
        <v>43203</v>
      </c>
      <c r="B503" s="213"/>
      <c r="C503" s="213"/>
      <c r="D503" s="213"/>
      <c r="E503" s="214"/>
      <c r="F503" s="218">
        <v>2710.03</v>
      </c>
      <c r="G503" s="234">
        <v>-5.66</v>
      </c>
      <c r="H503" s="214"/>
      <c r="J503" s="41"/>
    </row>
    <row r="504" spans="1:10" hidden="1">
      <c r="A504" s="233">
        <v>43210</v>
      </c>
      <c r="B504" s="213"/>
      <c r="C504" s="213"/>
      <c r="D504" s="213"/>
      <c r="E504" s="214"/>
      <c r="F504" s="218">
        <v>2724.47</v>
      </c>
      <c r="G504" s="234">
        <v>-4.62</v>
      </c>
      <c r="H504" s="214"/>
      <c r="J504" s="41"/>
    </row>
    <row r="505" spans="1:10" hidden="1">
      <c r="A505" s="233">
        <v>43217</v>
      </c>
      <c r="B505" s="213"/>
      <c r="C505" s="213"/>
      <c r="D505" s="213"/>
      <c r="E505" s="214"/>
      <c r="F505" s="218">
        <v>2812.83</v>
      </c>
      <c r="G505" s="234">
        <v>-3.94</v>
      </c>
      <c r="H505" s="214"/>
      <c r="J505" s="41"/>
    </row>
    <row r="506" spans="1:10" hidden="1">
      <c r="A506" s="233">
        <v>43224</v>
      </c>
      <c r="B506" s="213"/>
      <c r="C506" s="213"/>
      <c r="D506" s="213"/>
      <c r="E506" s="214"/>
      <c r="F506" s="218">
        <v>2857.85</v>
      </c>
      <c r="G506" s="234">
        <v>-2.4700000000000002</v>
      </c>
      <c r="H506" s="214"/>
      <c r="J506" s="41"/>
    </row>
    <row r="507" spans="1:10" hidden="1">
      <c r="A507" s="233">
        <v>43231</v>
      </c>
      <c r="B507" s="213"/>
      <c r="C507" s="213"/>
      <c r="D507" s="213"/>
      <c r="E507" s="214"/>
      <c r="F507" s="218">
        <v>2822.37</v>
      </c>
      <c r="G507" s="234">
        <v>-4.3099999999999996</v>
      </c>
      <c r="H507" s="214"/>
      <c r="J507" s="41"/>
    </row>
    <row r="508" spans="1:10" hidden="1">
      <c r="A508" s="233">
        <v>43238</v>
      </c>
      <c r="B508" s="213"/>
      <c r="C508" s="213"/>
      <c r="D508" s="213"/>
      <c r="E508" s="214"/>
      <c r="F508" s="218">
        <v>2886.23</v>
      </c>
      <c r="G508" s="234">
        <v>-0.25</v>
      </c>
      <c r="H508" s="214"/>
      <c r="J508" s="41"/>
    </row>
    <row r="509" spans="1:10" hidden="1">
      <c r="A509" s="233">
        <v>43245</v>
      </c>
      <c r="B509" s="213"/>
      <c r="C509" s="213"/>
      <c r="D509" s="213"/>
      <c r="E509" s="214"/>
      <c r="F509" s="218">
        <v>2863.12</v>
      </c>
      <c r="G509" s="234">
        <v>-1.4514902126810059</v>
      </c>
      <c r="H509" s="214"/>
      <c r="J509" s="41"/>
    </row>
    <row r="510" spans="1:10" hidden="1">
      <c r="A510" s="233">
        <v>43252</v>
      </c>
      <c r="B510" s="213"/>
      <c r="C510" s="213"/>
      <c r="D510" s="213"/>
      <c r="E510" s="214"/>
      <c r="F510" s="218">
        <v>2889.32</v>
      </c>
      <c r="G510" s="234">
        <v>-1.08</v>
      </c>
      <c r="H510" s="214"/>
      <c r="J510" s="41"/>
    </row>
    <row r="511" spans="1:10" hidden="1">
      <c r="A511" s="233">
        <v>43259</v>
      </c>
      <c r="B511" s="213"/>
      <c r="C511" s="213"/>
      <c r="D511" s="213"/>
      <c r="E511" s="214"/>
      <c r="F511" s="218">
        <v>2835.78</v>
      </c>
      <c r="G511" s="234">
        <v>-2.4500000000000002</v>
      </c>
      <c r="H511" s="214"/>
      <c r="J511" s="41"/>
    </row>
    <row r="512" spans="1:10" hidden="1">
      <c r="A512" s="233">
        <v>43266</v>
      </c>
      <c r="B512" s="213"/>
      <c r="C512" s="213"/>
      <c r="D512" s="213"/>
      <c r="E512" s="214"/>
      <c r="F512" s="218">
        <v>2859.78</v>
      </c>
      <c r="G512" s="234">
        <v>-2.2200000000000002</v>
      </c>
      <c r="H512" s="214"/>
      <c r="J512" s="41"/>
    </row>
    <row r="513" spans="1:10" hidden="1">
      <c r="A513" s="233">
        <v>43273</v>
      </c>
      <c r="B513" s="213"/>
      <c r="C513" s="213"/>
      <c r="D513" s="213"/>
      <c r="E513" s="214"/>
      <c r="F513" s="218">
        <v>2944.82</v>
      </c>
      <c r="G513" s="234">
        <v>-3.5718261894626568</v>
      </c>
      <c r="H513" s="214"/>
      <c r="J513" s="41"/>
    </row>
    <row r="514" spans="1:10" hidden="1">
      <c r="A514" s="233">
        <v>43280</v>
      </c>
      <c r="B514" s="213"/>
      <c r="C514" s="213"/>
      <c r="D514" s="213"/>
      <c r="E514" s="214"/>
      <c r="F514" s="215">
        <v>2945.09</v>
      </c>
      <c r="G514" s="231">
        <v>-2.6</v>
      </c>
      <c r="H514" s="214"/>
      <c r="J514" s="41"/>
    </row>
    <row r="515" spans="1:10" hidden="1">
      <c r="A515" s="233">
        <v>43287</v>
      </c>
      <c r="B515" s="213"/>
      <c r="C515" s="213"/>
      <c r="D515" s="213"/>
      <c r="E515" s="214"/>
      <c r="F515" s="215">
        <v>2885.53</v>
      </c>
      <c r="G515" s="231">
        <v>-5.98</v>
      </c>
      <c r="H515" s="214"/>
      <c r="J515" s="41"/>
    </row>
    <row r="516" spans="1:10" hidden="1">
      <c r="A516" s="233">
        <v>43294</v>
      </c>
      <c r="B516" s="213"/>
      <c r="C516" s="213"/>
      <c r="D516" s="213"/>
      <c r="E516" s="214"/>
      <c r="F516" s="215">
        <v>2882.02</v>
      </c>
      <c r="G516" s="231">
        <v>-5.58</v>
      </c>
      <c r="H516" s="214"/>
      <c r="J516" s="41"/>
    </row>
    <row r="517" spans="1:10" hidden="1">
      <c r="A517" s="233">
        <v>43301</v>
      </c>
      <c r="B517" s="213"/>
      <c r="C517" s="213"/>
      <c r="D517" s="213"/>
      <c r="E517" s="214"/>
      <c r="F517" s="215">
        <v>2883.81</v>
      </c>
      <c r="G517" s="231">
        <v>-4.1900000000000004</v>
      </c>
      <c r="H517" s="214"/>
      <c r="J517" s="41"/>
    </row>
    <row r="518" spans="1:10" hidden="1">
      <c r="A518" s="233">
        <v>43308</v>
      </c>
      <c r="B518" s="213"/>
      <c r="C518" s="213"/>
      <c r="D518" s="213"/>
      <c r="E518" s="214"/>
      <c r="F518" s="215">
        <v>2886.21</v>
      </c>
      <c r="G518" s="231">
        <v>-4.63</v>
      </c>
      <c r="H518" s="214"/>
      <c r="J518" s="41"/>
    </row>
    <row r="519" spans="1:10" hidden="1">
      <c r="A519" s="233">
        <v>43315</v>
      </c>
      <c r="B519" s="213"/>
      <c r="C519" s="213"/>
      <c r="D519" s="213"/>
      <c r="E519" s="214"/>
      <c r="F519" s="215">
        <v>2904.9</v>
      </c>
      <c r="G519" s="231">
        <v>-2.02</v>
      </c>
      <c r="H519" s="214"/>
      <c r="J519" s="41"/>
    </row>
    <row r="520" spans="1:10" hidden="1">
      <c r="A520" s="233">
        <v>43322</v>
      </c>
      <c r="B520" s="213"/>
      <c r="C520" s="213"/>
      <c r="D520" s="213"/>
      <c r="E520" s="214"/>
      <c r="F520" s="215">
        <v>2919.44</v>
      </c>
      <c r="G520" s="231">
        <v>-3.05</v>
      </c>
      <c r="H520" s="214"/>
      <c r="J520" s="41"/>
    </row>
    <row r="521" spans="1:10" hidden="1">
      <c r="A521" s="233">
        <v>43329</v>
      </c>
      <c r="B521" s="213"/>
      <c r="C521" s="213"/>
      <c r="D521" s="213"/>
      <c r="E521" s="214"/>
      <c r="F521" s="215">
        <v>3019.55</v>
      </c>
      <c r="G521" s="231">
        <v>1.76</v>
      </c>
      <c r="H521" s="214"/>
      <c r="J521" s="41"/>
    </row>
    <row r="522" spans="1:10" hidden="1">
      <c r="A522" s="233">
        <v>43336</v>
      </c>
      <c r="B522" s="213"/>
      <c r="C522" s="213"/>
      <c r="D522" s="213"/>
      <c r="E522" s="214"/>
      <c r="F522" s="215">
        <v>2980.64</v>
      </c>
      <c r="G522" s="231">
        <v>-0.21</v>
      </c>
      <c r="H522" s="214"/>
      <c r="J522" s="41"/>
    </row>
    <row r="523" spans="1:10" hidden="1">
      <c r="A523" s="233">
        <v>43343</v>
      </c>
      <c r="B523" s="213"/>
      <c r="C523" s="213"/>
      <c r="D523" s="213"/>
      <c r="E523" s="214"/>
      <c r="F523" s="215">
        <v>3027.39</v>
      </c>
      <c r="G523" s="231">
        <v>3.07</v>
      </c>
      <c r="H523" s="214"/>
      <c r="J523" s="41"/>
    </row>
    <row r="524" spans="1:10" hidden="1">
      <c r="A524" s="233">
        <v>43350</v>
      </c>
      <c r="B524" s="213"/>
      <c r="C524" s="213"/>
      <c r="D524" s="213"/>
      <c r="E524" s="214"/>
      <c r="F524" s="215">
        <v>3089.47</v>
      </c>
      <c r="G524" s="231">
        <v>5.82</v>
      </c>
      <c r="H524" s="214"/>
      <c r="J524" s="41"/>
    </row>
    <row r="525" spans="1:10" hidden="1">
      <c r="A525" s="233">
        <v>43357</v>
      </c>
      <c r="B525" s="213"/>
      <c r="C525" s="213"/>
      <c r="D525" s="213"/>
      <c r="E525" s="214"/>
      <c r="F525" s="215">
        <v>3019.38</v>
      </c>
      <c r="G525" s="231">
        <v>3.78</v>
      </c>
      <c r="H525" s="214"/>
      <c r="J525" s="41"/>
    </row>
    <row r="526" spans="1:10" hidden="1">
      <c r="A526" s="233">
        <v>43364</v>
      </c>
      <c r="B526" s="213"/>
      <c r="C526" s="213"/>
      <c r="D526" s="213"/>
      <c r="E526" s="214"/>
      <c r="F526" s="215">
        <v>3014.18</v>
      </c>
      <c r="G526" s="231">
        <v>4.18</v>
      </c>
      <c r="H526" s="214"/>
      <c r="J526" s="41"/>
    </row>
    <row r="527" spans="1:10" hidden="1">
      <c r="A527" s="233">
        <v>43371</v>
      </c>
      <c r="B527" s="213"/>
      <c r="C527" s="213"/>
      <c r="D527" s="213"/>
      <c r="E527" s="214"/>
      <c r="F527" s="215">
        <v>2989.58</v>
      </c>
      <c r="G527" s="231">
        <v>1.66</v>
      </c>
      <c r="H527" s="214"/>
      <c r="J527" s="41"/>
    </row>
    <row r="528" spans="1:10" hidden="1">
      <c r="A528" s="233">
        <v>43378</v>
      </c>
      <c r="B528" s="213"/>
      <c r="C528" s="213"/>
      <c r="D528" s="213"/>
      <c r="E528" s="214"/>
      <c r="F528" s="215">
        <v>3028.16</v>
      </c>
      <c r="G528" s="231">
        <v>2.8</v>
      </c>
      <c r="H528" s="214"/>
      <c r="J528" s="41"/>
    </row>
    <row r="529" spans="1:10" hidden="1">
      <c r="A529" s="233">
        <v>43385</v>
      </c>
      <c r="B529" s="213"/>
      <c r="C529" s="213"/>
      <c r="D529" s="213"/>
      <c r="E529" s="214"/>
      <c r="F529" s="215">
        <v>3087.34</v>
      </c>
      <c r="G529" s="231">
        <v>4.5199999999999996</v>
      </c>
      <c r="H529" s="214"/>
      <c r="J529" s="41"/>
    </row>
    <row r="530" spans="1:10" hidden="1">
      <c r="A530" s="233">
        <v>43392</v>
      </c>
      <c r="B530" s="213"/>
      <c r="C530" s="213"/>
      <c r="D530" s="213"/>
      <c r="E530" s="214"/>
      <c r="F530" s="215">
        <v>3088.47</v>
      </c>
      <c r="G530" s="231">
        <v>5.21</v>
      </c>
      <c r="H530" s="214"/>
      <c r="J530" s="41"/>
    </row>
    <row r="531" spans="1:10" hidden="1">
      <c r="A531" s="233">
        <v>43399</v>
      </c>
      <c r="B531" s="213"/>
      <c r="C531" s="213"/>
      <c r="D531" s="213"/>
      <c r="E531" s="214"/>
      <c r="F531" s="215">
        <v>3167.18</v>
      </c>
      <c r="G531" s="231">
        <v>5.95</v>
      </c>
      <c r="H531" s="214"/>
      <c r="J531" s="41"/>
    </row>
    <row r="532" spans="1:10" hidden="1">
      <c r="A532" s="233">
        <v>43406</v>
      </c>
      <c r="B532" s="213"/>
      <c r="C532" s="213"/>
      <c r="D532" s="213"/>
      <c r="E532" s="214"/>
      <c r="F532" s="215">
        <v>3193.8</v>
      </c>
      <c r="G532" s="231">
        <v>5.1100000000000003</v>
      </c>
      <c r="H532" s="214"/>
      <c r="J532" s="41"/>
    </row>
    <row r="533" spans="1:10" hidden="1">
      <c r="A533" s="233">
        <v>43413</v>
      </c>
      <c r="B533" s="213"/>
      <c r="C533" s="213"/>
      <c r="D533" s="213"/>
      <c r="E533" s="214"/>
      <c r="F533" s="215">
        <v>3145.39</v>
      </c>
      <c r="G533" s="231">
        <v>4.2286051335749919</v>
      </c>
      <c r="H533" s="214"/>
      <c r="J533" s="41"/>
    </row>
    <row r="534" spans="1:10" hidden="1">
      <c r="A534" s="233">
        <v>43420</v>
      </c>
      <c r="B534" s="213"/>
      <c r="C534" s="213"/>
      <c r="D534" s="213"/>
      <c r="E534" s="214"/>
      <c r="F534" s="215">
        <v>3198.29</v>
      </c>
      <c r="G534" s="231">
        <v>5.77</v>
      </c>
      <c r="H534" s="214"/>
      <c r="J534" s="41"/>
    </row>
    <row r="535" spans="1:10" hidden="1">
      <c r="A535" s="233">
        <v>43427</v>
      </c>
      <c r="B535" s="213"/>
      <c r="C535" s="213"/>
      <c r="D535" s="213"/>
      <c r="E535" s="214"/>
      <c r="F535" s="215">
        <v>3196.26</v>
      </c>
      <c r="G535" s="231">
        <v>7.16</v>
      </c>
      <c r="H535" s="214"/>
      <c r="J535" s="41"/>
    </row>
    <row r="536" spans="1:10" hidden="1">
      <c r="A536" s="233">
        <v>43434</v>
      </c>
      <c r="B536" s="213"/>
      <c r="C536" s="213"/>
      <c r="D536" s="213"/>
      <c r="E536" s="214"/>
      <c r="F536" s="215">
        <v>3240.02</v>
      </c>
      <c r="G536" s="231">
        <v>7.78</v>
      </c>
      <c r="H536" s="214"/>
      <c r="J536" s="41"/>
    </row>
    <row r="537" spans="1:10" hidden="1">
      <c r="A537" s="233">
        <v>43441</v>
      </c>
      <c r="B537" s="213"/>
      <c r="C537" s="213"/>
      <c r="D537" s="213"/>
      <c r="E537" s="214"/>
      <c r="F537" s="215">
        <v>3187.86</v>
      </c>
      <c r="G537" s="231">
        <v>6.01</v>
      </c>
      <c r="H537" s="214"/>
      <c r="J537" s="41"/>
    </row>
    <row r="538" spans="1:10" hidden="1">
      <c r="A538" s="233">
        <v>43448</v>
      </c>
      <c r="B538" s="213"/>
      <c r="C538" s="213"/>
      <c r="D538" s="213"/>
      <c r="E538" s="214"/>
      <c r="F538" s="215">
        <v>3178.4</v>
      </c>
      <c r="G538" s="231">
        <v>5.4052351089901585</v>
      </c>
      <c r="H538" s="214"/>
      <c r="J538" s="41"/>
    </row>
    <row r="539" spans="1:10" hidden="1">
      <c r="A539" s="233">
        <v>43455</v>
      </c>
      <c r="B539" s="213"/>
      <c r="C539" s="213"/>
      <c r="D539" s="213"/>
      <c r="E539" s="214"/>
      <c r="F539" s="215">
        <v>3246.86</v>
      </c>
      <c r="G539" s="231">
        <v>9.48</v>
      </c>
      <c r="H539" s="214"/>
      <c r="J539" s="41"/>
    </row>
    <row r="540" spans="1:10" hidden="1">
      <c r="A540" s="233">
        <v>43462</v>
      </c>
      <c r="B540" s="213"/>
      <c r="C540" s="213"/>
      <c r="D540" s="213"/>
      <c r="E540" s="214"/>
      <c r="F540" s="215">
        <v>3275.01</v>
      </c>
      <c r="G540" s="231">
        <v>10.210000000000001</v>
      </c>
      <c r="H540" s="214"/>
      <c r="J540" s="41"/>
    </row>
    <row r="541" spans="1:10" hidden="1">
      <c r="A541" s="233">
        <v>43469</v>
      </c>
      <c r="B541" s="213"/>
      <c r="C541" s="213"/>
      <c r="D541" s="213"/>
      <c r="E541" s="214"/>
      <c r="F541" s="215">
        <v>3241.2</v>
      </c>
      <c r="G541" s="231">
        <v>11.43</v>
      </c>
      <c r="H541" s="214"/>
      <c r="J541" s="41"/>
    </row>
    <row r="542" spans="1:10" hidden="1">
      <c r="A542" s="233">
        <v>43476</v>
      </c>
      <c r="B542" s="213"/>
      <c r="C542" s="213"/>
      <c r="D542" s="213"/>
      <c r="E542" s="214"/>
      <c r="F542" s="215">
        <v>3136.49</v>
      </c>
      <c r="G542" s="231">
        <v>8.32</v>
      </c>
      <c r="H542" s="214"/>
      <c r="J542" s="41"/>
    </row>
    <row r="543" spans="1:10" hidden="1">
      <c r="A543" s="233">
        <v>43483</v>
      </c>
      <c r="B543" s="213"/>
      <c r="C543" s="213"/>
      <c r="D543" s="213"/>
      <c r="E543" s="214"/>
      <c r="F543" s="215">
        <v>3140.19</v>
      </c>
      <c r="G543" s="231">
        <v>10.14</v>
      </c>
      <c r="H543" s="214"/>
      <c r="J543" s="41"/>
    </row>
    <row r="544" spans="1:10" hidden="1">
      <c r="A544" s="233">
        <v>43490</v>
      </c>
      <c r="B544" s="213"/>
      <c r="C544" s="213"/>
      <c r="D544" s="213"/>
      <c r="E544" s="214"/>
      <c r="F544" s="215">
        <v>3160.52</v>
      </c>
      <c r="G544" s="231">
        <v>12.05</v>
      </c>
      <c r="H544" s="214"/>
      <c r="J544" s="41"/>
    </row>
    <row r="545" spans="1:10" hidden="1">
      <c r="A545" s="233">
        <v>43497</v>
      </c>
      <c r="B545" s="213"/>
      <c r="C545" s="213"/>
      <c r="D545" s="213"/>
      <c r="E545" s="214"/>
      <c r="F545" s="215">
        <v>3115.7</v>
      </c>
      <c r="G545" s="231">
        <v>9.9</v>
      </c>
      <c r="H545" s="214"/>
      <c r="J545" s="41"/>
    </row>
    <row r="546" spans="1:10" hidden="1">
      <c r="A546" s="233">
        <v>43504</v>
      </c>
      <c r="B546" s="213"/>
      <c r="C546" s="213"/>
      <c r="D546" s="213"/>
      <c r="E546" s="214"/>
      <c r="F546" s="215">
        <v>3110.46</v>
      </c>
      <c r="G546" s="231">
        <v>9.8800000000000008</v>
      </c>
      <c r="H546" s="214"/>
      <c r="J546" s="41"/>
    </row>
    <row r="547" spans="1:10" hidden="1">
      <c r="A547" s="233">
        <v>43511</v>
      </c>
      <c r="B547" s="213"/>
      <c r="C547" s="213"/>
      <c r="D547" s="213"/>
      <c r="E547" s="214"/>
      <c r="F547" s="215">
        <v>3155.27</v>
      </c>
      <c r="G547" s="231">
        <v>8.9600000000000009</v>
      </c>
      <c r="H547" s="214"/>
      <c r="J547" s="41"/>
    </row>
    <row r="548" spans="1:10" hidden="1">
      <c r="A548" s="233">
        <v>43518</v>
      </c>
      <c r="B548" s="213"/>
      <c r="C548" s="213"/>
      <c r="D548" s="213"/>
      <c r="E548" s="214"/>
      <c r="F548" s="215">
        <v>3119.42</v>
      </c>
      <c r="G548" s="231">
        <v>8.39</v>
      </c>
      <c r="H548" s="214"/>
      <c r="J548" s="41"/>
    </row>
    <row r="549" spans="1:10" hidden="1">
      <c r="A549" s="233">
        <v>43525</v>
      </c>
      <c r="B549" s="213"/>
      <c r="C549" s="213"/>
      <c r="D549" s="213"/>
      <c r="E549" s="214"/>
      <c r="F549" s="215">
        <v>3077.35</v>
      </c>
      <c r="G549" s="231">
        <v>7.3</v>
      </c>
      <c r="H549" s="214"/>
      <c r="J549" s="41"/>
    </row>
    <row r="550" spans="1:10" hidden="1">
      <c r="A550" s="233">
        <v>43532</v>
      </c>
      <c r="B550" s="213"/>
      <c r="C550" s="213"/>
      <c r="D550" s="213"/>
      <c r="E550" s="214"/>
      <c r="F550" s="215">
        <v>3120.04</v>
      </c>
      <c r="G550" s="231">
        <v>9.14</v>
      </c>
      <c r="H550" s="214"/>
      <c r="J550" s="41"/>
    </row>
    <row r="551" spans="1:10" hidden="1">
      <c r="A551" s="233">
        <v>43539</v>
      </c>
      <c r="B551" s="213"/>
      <c r="C551" s="213"/>
      <c r="D551" s="213"/>
      <c r="E551" s="214"/>
      <c r="F551" s="215">
        <v>3144.42</v>
      </c>
      <c r="G551" s="231">
        <v>10.49</v>
      </c>
      <c r="H551" s="214"/>
      <c r="J551" s="41"/>
    </row>
    <row r="552" spans="1:10" hidden="1">
      <c r="A552" s="233">
        <v>43546</v>
      </c>
      <c r="B552" s="213"/>
      <c r="C552" s="213"/>
      <c r="D552" s="213"/>
      <c r="E552" s="214"/>
      <c r="F552" s="215">
        <v>3082.45</v>
      </c>
      <c r="G552" s="231">
        <v>8.1300000000000008</v>
      </c>
      <c r="H552" s="214"/>
      <c r="J552" s="41"/>
    </row>
    <row r="553" spans="1:10" hidden="1">
      <c r="A553" s="233">
        <v>43553</v>
      </c>
      <c r="B553" s="213"/>
      <c r="C553" s="213"/>
      <c r="D553" s="213"/>
      <c r="E553" s="214"/>
      <c r="F553" s="215">
        <v>3190.94</v>
      </c>
      <c r="G553" s="231">
        <v>14.76</v>
      </c>
      <c r="H553" s="214"/>
      <c r="J553" s="41"/>
    </row>
    <row r="554" spans="1:10" hidden="1">
      <c r="A554" s="233">
        <v>43560</v>
      </c>
      <c r="B554" s="213"/>
      <c r="C554" s="213"/>
      <c r="D554" s="213"/>
      <c r="E554" s="214"/>
      <c r="F554" s="215">
        <v>3132.78</v>
      </c>
      <c r="G554" s="231">
        <v>12.22</v>
      </c>
      <c r="H554" s="214"/>
      <c r="J554" s="41"/>
    </row>
    <row r="555" spans="1:10" hidden="1">
      <c r="A555" s="233">
        <v>43567</v>
      </c>
      <c r="B555" s="213"/>
      <c r="C555" s="213"/>
      <c r="D555" s="213"/>
      <c r="E555" s="214"/>
      <c r="F555" s="215">
        <v>3113.91</v>
      </c>
      <c r="G555" s="231">
        <v>13.93</v>
      </c>
      <c r="H555" s="214"/>
      <c r="J555" s="41"/>
    </row>
    <row r="556" spans="1:10" hidden="1">
      <c r="A556" s="233">
        <v>43574</v>
      </c>
      <c r="B556" s="213"/>
      <c r="C556" s="213"/>
      <c r="D556" s="213"/>
      <c r="E556" s="214"/>
      <c r="F556" s="215">
        <v>3160.48</v>
      </c>
      <c r="G556" s="231">
        <v>16.809999999999999</v>
      </c>
      <c r="H556" s="214"/>
      <c r="J556" s="41"/>
    </row>
    <row r="557" spans="1:10" hidden="1">
      <c r="A557" s="233">
        <v>43581</v>
      </c>
      <c r="B557" s="213"/>
      <c r="C557" s="213"/>
      <c r="D557" s="213"/>
      <c r="E557" s="214"/>
      <c r="F557" s="215">
        <v>3237.98</v>
      </c>
      <c r="G557" s="231">
        <v>14.81</v>
      </c>
      <c r="H557" s="214"/>
      <c r="J557" s="41"/>
    </row>
    <row r="558" spans="1:10" hidden="1">
      <c r="A558" s="233">
        <v>43588</v>
      </c>
      <c r="B558" s="213"/>
      <c r="C558" s="213"/>
      <c r="D558" s="213"/>
      <c r="E558" s="214"/>
      <c r="F558" s="215">
        <v>3262.17</v>
      </c>
      <c r="G558" s="231">
        <v>15.19</v>
      </c>
      <c r="H558" s="214"/>
      <c r="J558" s="41"/>
    </row>
    <row r="559" spans="1:10" hidden="1">
      <c r="A559" s="233">
        <v>43595</v>
      </c>
      <c r="B559" s="213"/>
      <c r="C559" s="213"/>
      <c r="D559" s="213"/>
      <c r="E559" s="214"/>
      <c r="F559" s="215">
        <v>3293.62</v>
      </c>
      <c r="G559" s="231">
        <v>15.18</v>
      </c>
      <c r="H559" s="214"/>
      <c r="J559" s="41"/>
    </row>
    <row r="560" spans="1:10" hidden="1">
      <c r="A560" s="233">
        <v>43602</v>
      </c>
      <c r="B560" s="213"/>
      <c r="C560" s="213"/>
      <c r="D560" s="213"/>
      <c r="E560" s="214"/>
      <c r="F560" s="215">
        <v>3290.27</v>
      </c>
      <c r="G560" s="231">
        <v>14.83</v>
      </c>
      <c r="H560" s="214"/>
      <c r="J560" s="41"/>
    </row>
    <row r="561" spans="1:10" hidden="1">
      <c r="A561" s="233">
        <v>43609</v>
      </c>
      <c r="B561" s="213"/>
      <c r="C561" s="213"/>
      <c r="D561" s="213"/>
      <c r="E561" s="214"/>
      <c r="F561" s="215">
        <v>3368.76</v>
      </c>
      <c r="G561" s="231">
        <v>17.66</v>
      </c>
      <c r="H561" s="214"/>
      <c r="J561" s="41"/>
    </row>
    <row r="562" spans="1:10" hidden="1">
      <c r="A562" s="233">
        <v>43616</v>
      </c>
      <c r="B562" s="213"/>
      <c r="C562" s="213"/>
      <c r="D562" s="213"/>
      <c r="E562" s="214"/>
      <c r="F562" s="215">
        <v>3357.82</v>
      </c>
      <c r="G562" s="231">
        <v>16.62</v>
      </c>
      <c r="H562" s="214"/>
      <c r="J562" s="41"/>
    </row>
    <row r="563" spans="1:10" hidden="1">
      <c r="A563" s="233">
        <v>43623</v>
      </c>
      <c r="B563" s="213"/>
      <c r="C563" s="213"/>
      <c r="D563" s="213"/>
      <c r="E563" s="214"/>
      <c r="F563" s="215">
        <v>3288.69</v>
      </c>
      <c r="G563" s="231">
        <v>16.27</v>
      </c>
      <c r="H563" s="214"/>
      <c r="J563" s="41"/>
    </row>
    <row r="564" spans="1:10" hidden="1">
      <c r="A564" s="233">
        <v>43630</v>
      </c>
      <c r="B564" s="213"/>
      <c r="C564" s="213"/>
      <c r="D564" s="213"/>
      <c r="E564" s="214"/>
      <c r="F564" s="215">
        <v>3266.72</v>
      </c>
      <c r="G564" s="231">
        <v>14.25</v>
      </c>
      <c r="H564" s="214"/>
      <c r="J564" s="41"/>
    </row>
    <row r="565" spans="1:10" hidden="1">
      <c r="A565" s="233">
        <v>43637</v>
      </c>
      <c r="B565" s="213"/>
      <c r="C565" s="213"/>
      <c r="D565" s="213"/>
      <c r="E565" s="214"/>
      <c r="F565" s="215">
        <v>3202.01</v>
      </c>
      <c r="G565" s="231">
        <v>9.7899999999999991</v>
      </c>
      <c r="H565" s="214"/>
      <c r="J565" s="41"/>
    </row>
    <row r="566" spans="1:10" hidden="1">
      <c r="A566" s="233">
        <v>43644</v>
      </c>
      <c r="B566" s="213"/>
      <c r="C566" s="213"/>
      <c r="D566" s="213"/>
      <c r="E566" s="214"/>
      <c r="F566" s="215">
        <v>3197.23</v>
      </c>
      <c r="G566" s="231">
        <v>8.94</v>
      </c>
      <c r="H566" s="214"/>
      <c r="J566" s="41"/>
    </row>
    <row r="567" spans="1:10" hidden="1">
      <c r="A567" s="233">
        <v>43651</v>
      </c>
      <c r="B567" s="213"/>
      <c r="C567" s="213"/>
      <c r="D567" s="213"/>
      <c r="E567" s="214"/>
      <c r="F567" s="215">
        <v>3206.92</v>
      </c>
      <c r="G567" s="231">
        <v>10.210000000000001</v>
      </c>
      <c r="H567" s="214"/>
      <c r="J567" s="41"/>
    </row>
    <row r="568" spans="1:10" hidden="1">
      <c r="A568" s="233">
        <v>43658</v>
      </c>
      <c r="B568" s="213"/>
      <c r="C568" s="213"/>
      <c r="D568" s="213"/>
      <c r="E568" s="214"/>
      <c r="F568" s="215">
        <v>3197.5</v>
      </c>
      <c r="G568" s="231">
        <v>11.02</v>
      </c>
      <c r="H568" s="214"/>
      <c r="J568" s="41"/>
    </row>
    <row r="569" spans="1:10" hidden="1">
      <c r="A569" s="233">
        <v>43665</v>
      </c>
      <c r="B569" s="213"/>
      <c r="C569" s="213"/>
      <c r="D569" s="213"/>
      <c r="E569" s="214"/>
      <c r="F569" s="215">
        <v>3183.01</v>
      </c>
      <c r="G569" s="231">
        <v>10.64</v>
      </c>
      <c r="H569" s="214"/>
      <c r="J569" s="41"/>
    </row>
    <row r="570" spans="1:10" hidden="1">
      <c r="A570" s="233">
        <v>43672</v>
      </c>
      <c r="B570" s="213"/>
      <c r="C570" s="213"/>
      <c r="D570" s="213"/>
      <c r="E570" s="214"/>
      <c r="F570" s="215">
        <v>3213.09</v>
      </c>
      <c r="G570" s="231">
        <v>11.46</v>
      </c>
      <c r="H570" s="214"/>
      <c r="J570" s="41"/>
    </row>
    <row r="571" spans="1:10" hidden="1">
      <c r="A571" s="233">
        <v>43679</v>
      </c>
      <c r="B571" s="213"/>
      <c r="C571" s="213"/>
      <c r="D571" s="213"/>
      <c r="E571" s="214"/>
      <c r="F571" s="215">
        <v>3329.23</v>
      </c>
      <c r="G571" s="231">
        <v>15.09</v>
      </c>
      <c r="H571" s="214"/>
      <c r="J571" s="41"/>
    </row>
    <row r="572" spans="1:10" hidden="1">
      <c r="A572" s="233">
        <v>43686</v>
      </c>
      <c r="B572" s="213"/>
      <c r="C572" s="213"/>
      <c r="D572" s="213"/>
      <c r="E572" s="214"/>
      <c r="F572" s="215">
        <v>3394.61</v>
      </c>
      <c r="G572" s="231">
        <v>16.7</v>
      </c>
      <c r="H572" s="214"/>
      <c r="J572" s="41"/>
    </row>
    <row r="573" spans="1:10" hidden="1">
      <c r="A573" s="233">
        <v>43693</v>
      </c>
      <c r="B573" s="213"/>
      <c r="C573" s="213"/>
      <c r="D573" s="213"/>
      <c r="E573" s="214"/>
      <c r="F573" s="215">
        <v>3447.76</v>
      </c>
      <c r="G573" s="231">
        <v>13.16</v>
      </c>
      <c r="H573" s="214"/>
      <c r="J573" s="41"/>
    </row>
    <row r="574" spans="1:10" hidden="1">
      <c r="A574" s="233">
        <v>43700</v>
      </c>
      <c r="B574" s="213"/>
      <c r="C574" s="213"/>
      <c r="D574" s="213"/>
      <c r="E574" s="214"/>
      <c r="F574" s="215">
        <v>3376.99</v>
      </c>
      <c r="G574" s="231">
        <v>13.877826299549811</v>
      </c>
      <c r="H574" s="214"/>
      <c r="J574" s="41"/>
    </row>
    <row r="575" spans="1:10" hidden="1">
      <c r="A575" s="233">
        <v>43707</v>
      </c>
      <c r="B575" s="213"/>
      <c r="C575" s="213"/>
      <c r="D575" s="213"/>
      <c r="E575" s="214"/>
      <c r="F575" s="215">
        <v>3464.15</v>
      </c>
      <c r="G575" s="231">
        <v>15.49</v>
      </c>
      <c r="H575" s="214"/>
      <c r="J575" s="41"/>
    </row>
    <row r="576" spans="1:10" hidden="1">
      <c r="A576" s="233">
        <v>43714</v>
      </c>
      <c r="B576" s="213"/>
      <c r="C576" s="213"/>
      <c r="D576" s="213"/>
      <c r="E576" s="214"/>
      <c r="F576" s="215">
        <v>3377.39</v>
      </c>
      <c r="G576" s="231">
        <v>8.94</v>
      </c>
      <c r="H576" s="214"/>
      <c r="J576" s="41"/>
    </row>
    <row r="577" spans="1:10" hidden="1">
      <c r="A577" s="233">
        <v>43721</v>
      </c>
      <c r="B577" s="213"/>
      <c r="C577" s="213"/>
      <c r="D577" s="213"/>
      <c r="E577" s="214"/>
      <c r="F577" s="215">
        <v>3359.2</v>
      </c>
      <c r="G577" s="231">
        <v>9.9600000000000009</v>
      </c>
      <c r="H577" s="214"/>
      <c r="J577" s="41"/>
    </row>
    <row r="578" spans="1:10" hidden="1">
      <c r="A578" s="233">
        <v>43728</v>
      </c>
      <c r="B578" s="213"/>
      <c r="C578" s="213"/>
      <c r="D578" s="213"/>
      <c r="E578" s="214"/>
      <c r="F578" s="215">
        <v>3377.72</v>
      </c>
      <c r="G578" s="231">
        <v>11.9</v>
      </c>
      <c r="H578" s="214"/>
      <c r="J578" s="41"/>
    </row>
    <row r="579" spans="1:10" hidden="1">
      <c r="A579" s="233">
        <v>43735</v>
      </c>
      <c r="B579" s="213"/>
      <c r="C579" s="213"/>
      <c r="D579" s="213"/>
      <c r="E579" s="214"/>
      <c r="F579" s="215">
        <v>3435.71</v>
      </c>
      <c r="G579" s="231">
        <v>14.52</v>
      </c>
      <c r="H579" s="214"/>
      <c r="J579" s="41"/>
    </row>
    <row r="580" spans="1:10" hidden="1">
      <c r="A580" s="233">
        <v>43742</v>
      </c>
      <c r="B580" s="213"/>
      <c r="C580" s="213"/>
      <c r="D580" s="213"/>
      <c r="E580" s="214"/>
      <c r="F580" s="215">
        <v>3467.6</v>
      </c>
      <c r="G580" s="231">
        <v>15.1</v>
      </c>
      <c r="H580" s="214"/>
      <c r="J580" s="41"/>
    </row>
    <row r="581" spans="1:10" hidden="1">
      <c r="A581" s="233">
        <v>43749</v>
      </c>
      <c r="B581" s="213"/>
      <c r="C581" s="213"/>
      <c r="D581" s="213"/>
      <c r="E581" s="214"/>
      <c r="F581" s="215">
        <v>3458.42</v>
      </c>
      <c r="G581" s="231">
        <v>11.91</v>
      </c>
      <c r="H581" s="214"/>
      <c r="J581" s="41"/>
    </row>
    <row r="582" spans="1:10" hidden="1">
      <c r="A582" s="233">
        <v>43756</v>
      </c>
      <c r="B582" s="213"/>
      <c r="C582" s="213"/>
      <c r="D582" s="213"/>
      <c r="E582" s="214"/>
      <c r="F582" s="215">
        <v>3465.35</v>
      </c>
      <c r="G582" s="231">
        <v>13.38</v>
      </c>
      <c r="H582" s="214"/>
      <c r="J582" s="41"/>
    </row>
    <row r="583" spans="1:10" hidden="1">
      <c r="A583" s="233">
        <v>43763</v>
      </c>
      <c r="B583" s="213"/>
      <c r="C583" s="213"/>
      <c r="D583" s="213"/>
      <c r="E583" s="214"/>
      <c r="F583" s="215">
        <v>3387.72</v>
      </c>
      <c r="G583" s="231">
        <v>7.56</v>
      </c>
      <c r="H583" s="214"/>
      <c r="J583" s="41"/>
    </row>
    <row r="584" spans="1:10" hidden="1">
      <c r="A584" s="233">
        <v>43770</v>
      </c>
      <c r="B584" s="213"/>
      <c r="C584" s="213"/>
      <c r="D584" s="213"/>
      <c r="E584" s="214"/>
      <c r="F584" s="215">
        <v>3383.29</v>
      </c>
      <c r="G584" s="231">
        <v>5.08</v>
      </c>
      <c r="H584" s="214"/>
      <c r="J584" s="41"/>
    </row>
    <row r="585" spans="1:10" hidden="1">
      <c r="A585" s="233">
        <v>43777</v>
      </c>
      <c r="B585" s="213"/>
      <c r="C585" s="213"/>
      <c r="D585" s="213"/>
      <c r="E585" s="214"/>
      <c r="F585" s="215">
        <v>3327.02</v>
      </c>
      <c r="G585" s="231">
        <v>5.95</v>
      </c>
      <c r="H585" s="214"/>
      <c r="J585" s="41"/>
    </row>
    <row r="586" spans="1:10" hidden="1">
      <c r="A586" s="233">
        <v>43784</v>
      </c>
      <c r="B586" s="213"/>
      <c r="C586" s="213"/>
      <c r="D586" s="213"/>
      <c r="E586" s="214"/>
      <c r="F586" s="215">
        <v>3452.67</v>
      </c>
      <c r="G586" s="231">
        <v>8.07</v>
      </c>
      <c r="H586" s="214"/>
      <c r="J586" s="41"/>
    </row>
    <row r="587" spans="1:10" hidden="1">
      <c r="A587" s="233">
        <v>43791</v>
      </c>
      <c r="B587" s="213"/>
      <c r="C587" s="213"/>
      <c r="D587" s="213"/>
      <c r="E587" s="214"/>
      <c r="F587" s="215">
        <v>3440.66</v>
      </c>
      <c r="G587" s="231">
        <v>7.65</v>
      </c>
      <c r="H587" s="214"/>
      <c r="J587" s="41"/>
    </row>
    <row r="588" spans="1:10" hidden="1">
      <c r="A588" s="233">
        <v>43798</v>
      </c>
      <c r="B588" s="213"/>
      <c r="C588" s="213"/>
      <c r="D588" s="213"/>
      <c r="E588" s="214"/>
      <c r="F588" s="215">
        <v>3502.92</v>
      </c>
      <c r="G588" s="231">
        <v>6.9767015730790138</v>
      </c>
      <c r="H588" s="214"/>
      <c r="J588" s="41"/>
    </row>
    <row r="589" spans="1:10" hidden="1">
      <c r="A589" s="233">
        <v>43805</v>
      </c>
      <c r="B589" s="213"/>
      <c r="C589" s="213"/>
      <c r="D589" s="213"/>
      <c r="E589" s="214"/>
      <c r="F589" s="215">
        <v>3459.97</v>
      </c>
      <c r="G589" s="231">
        <v>9.4134314057218162</v>
      </c>
      <c r="H589" s="214"/>
      <c r="J589" s="41"/>
    </row>
    <row r="590" spans="1:10" hidden="1">
      <c r="A590" s="233">
        <v>43812</v>
      </c>
      <c r="B590" s="213"/>
      <c r="C590" s="213"/>
      <c r="D590" s="213"/>
      <c r="E590" s="214"/>
      <c r="F590" s="215">
        <v>3372.23</v>
      </c>
      <c r="G590" s="231">
        <v>6.4</v>
      </c>
      <c r="H590" s="214"/>
      <c r="J590" s="41"/>
    </row>
    <row r="591" spans="1:10" hidden="1">
      <c r="A591" s="233">
        <v>43819</v>
      </c>
      <c r="B591" s="213"/>
      <c r="C591" s="213"/>
      <c r="D591" s="213"/>
      <c r="E591" s="214"/>
      <c r="F591" s="215">
        <v>3322.38</v>
      </c>
      <c r="G591" s="231">
        <v>3.29</v>
      </c>
      <c r="H591" s="214"/>
      <c r="J591" s="41"/>
    </row>
    <row r="592" spans="1:10" hidden="1">
      <c r="A592" s="233">
        <v>43826</v>
      </c>
      <c r="B592" s="213"/>
      <c r="C592" s="213"/>
      <c r="D592" s="213"/>
      <c r="E592" s="214"/>
      <c r="F592" s="215">
        <v>3281.4</v>
      </c>
      <c r="G592" s="231">
        <v>-0.252</v>
      </c>
      <c r="H592" s="214"/>
      <c r="J592" s="41"/>
    </row>
    <row r="593" spans="1:10" hidden="1">
      <c r="A593" s="233">
        <v>43833</v>
      </c>
      <c r="B593" s="213"/>
      <c r="C593" s="213"/>
      <c r="D593" s="213"/>
      <c r="E593" s="214"/>
      <c r="F593" s="215">
        <v>3258.84</v>
      </c>
      <c r="G593" s="231">
        <v>0.27</v>
      </c>
      <c r="H593" s="214"/>
      <c r="J593" s="41"/>
    </row>
    <row r="594" spans="1:10" hidden="1">
      <c r="A594" s="233">
        <v>43840</v>
      </c>
      <c r="B594" s="213"/>
      <c r="C594" s="213"/>
      <c r="D594" s="213"/>
      <c r="E594" s="214"/>
      <c r="F594" s="215">
        <v>3253.89</v>
      </c>
      <c r="G594" s="231">
        <v>4.0199999999999996</v>
      </c>
      <c r="H594" s="214"/>
      <c r="J594" s="41"/>
    </row>
    <row r="595" spans="1:10" hidden="1">
      <c r="A595" s="233">
        <v>43847</v>
      </c>
      <c r="B595" s="213"/>
      <c r="C595" s="213"/>
      <c r="D595" s="213"/>
      <c r="E595" s="214"/>
      <c r="F595" s="215">
        <v>3313.4</v>
      </c>
      <c r="G595" s="231">
        <v>6.03</v>
      </c>
      <c r="H595" s="214"/>
      <c r="J595" s="41"/>
    </row>
    <row r="596" spans="1:10" hidden="1">
      <c r="A596" s="233">
        <v>43854</v>
      </c>
      <c r="B596" s="213"/>
      <c r="C596" s="213"/>
      <c r="D596" s="213"/>
      <c r="E596" s="214"/>
      <c r="F596" s="215">
        <v>3353.76</v>
      </c>
      <c r="G596" s="231">
        <v>6.6</v>
      </c>
      <c r="H596" s="214"/>
      <c r="J596" s="41"/>
    </row>
    <row r="597" spans="1:10" hidden="1">
      <c r="A597" s="233">
        <v>43861</v>
      </c>
      <c r="B597" s="213"/>
      <c r="C597" s="213"/>
      <c r="D597" s="213"/>
      <c r="E597" s="214"/>
      <c r="F597" s="215">
        <v>3411.45</v>
      </c>
      <c r="G597" s="231">
        <v>7.84</v>
      </c>
      <c r="H597" s="214"/>
      <c r="J597" s="41"/>
    </row>
    <row r="598" spans="1:10" hidden="1">
      <c r="A598" s="233">
        <v>43868</v>
      </c>
      <c r="B598" s="213"/>
      <c r="C598" s="213"/>
      <c r="D598" s="213"/>
      <c r="E598" s="214"/>
      <c r="F598" s="215">
        <v>3378.43</v>
      </c>
      <c r="G598" s="231">
        <v>8.68</v>
      </c>
      <c r="H598" s="214"/>
      <c r="J598" s="41"/>
    </row>
    <row r="599" spans="1:10" hidden="1">
      <c r="A599" s="233">
        <v>43875</v>
      </c>
      <c r="B599" s="213"/>
      <c r="C599" s="213"/>
      <c r="D599" s="213"/>
      <c r="E599" s="214"/>
      <c r="F599" s="215">
        <v>3385.11</v>
      </c>
      <c r="G599" s="231">
        <v>7.96</v>
      </c>
      <c r="H599" s="214"/>
      <c r="J599" s="41"/>
    </row>
    <row r="600" spans="1:10" hidden="1">
      <c r="A600" s="233">
        <v>43882</v>
      </c>
      <c r="B600" s="213"/>
      <c r="C600" s="213"/>
      <c r="D600" s="213"/>
      <c r="E600" s="214"/>
      <c r="F600" s="215">
        <v>3403.5</v>
      </c>
      <c r="G600" s="231">
        <v>9.36</v>
      </c>
      <c r="H600" s="214"/>
      <c r="J600" s="41"/>
    </row>
    <row r="601" spans="1:10" hidden="1">
      <c r="A601" s="233">
        <v>43889</v>
      </c>
      <c r="B601" s="213"/>
      <c r="C601" s="213"/>
      <c r="D601" s="213"/>
      <c r="E601" s="214"/>
      <c r="F601" s="215">
        <v>3507.11</v>
      </c>
      <c r="G601" s="231">
        <v>14.16</v>
      </c>
      <c r="H601" s="214"/>
      <c r="J601" s="41"/>
    </row>
    <row r="602" spans="1:10" hidden="1">
      <c r="A602" s="233">
        <v>43896</v>
      </c>
      <c r="B602" s="213"/>
      <c r="C602" s="213"/>
      <c r="D602" s="213"/>
      <c r="E602" s="214"/>
      <c r="F602" s="215">
        <v>3522.41</v>
      </c>
      <c r="G602" s="231">
        <v>13.66</v>
      </c>
      <c r="H602" s="214"/>
      <c r="J602" s="41"/>
    </row>
    <row r="603" spans="1:10" hidden="1">
      <c r="A603" s="233">
        <v>43903</v>
      </c>
      <c r="B603" s="213"/>
      <c r="C603" s="213"/>
      <c r="D603" s="213"/>
      <c r="E603" s="214"/>
      <c r="F603" s="215">
        <v>4034.66</v>
      </c>
      <c r="G603" s="231">
        <v>27.95</v>
      </c>
      <c r="H603" s="214"/>
      <c r="J603" s="41"/>
    </row>
    <row r="604" spans="1:10" hidden="1">
      <c r="A604" s="233">
        <v>43910</v>
      </c>
      <c r="B604" s="213"/>
      <c r="C604" s="213"/>
      <c r="D604" s="213"/>
      <c r="E604" s="214"/>
      <c r="F604" s="215">
        <v>4153.91</v>
      </c>
      <c r="G604" s="231">
        <v>34.196660194676596</v>
      </c>
      <c r="H604" s="214"/>
      <c r="J604" s="41"/>
    </row>
    <row r="605" spans="1:10" hidden="1">
      <c r="A605" s="233">
        <v>43917</v>
      </c>
      <c r="B605" s="213"/>
      <c r="C605" s="213"/>
      <c r="D605" s="213"/>
      <c r="E605" s="214"/>
      <c r="F605" s="215">
        <v>3995.83</v>
      </c>
      <c r="G605" s="231">
        <v>27.03</v>
      </c>
      <c r="H605" s="214"/>
      <c r="J605" s="41"/>
    </row>
    <row r="606" spans="1:10" hidden="1">
      <c r="A606" s="233">
        <v>43924</v>
      </c>
      <c r="B606" s="213"/>
      <c r="C606" s="213"/>
      <c r="D606" s="213"/>
      <c r="E606" s="214"/>
      <c r="F606" s="215">
        <v>4065.5</v>
      </c>
      <c r="G606" s="231">
        <v>29.336124401913864</v>
      </c>
      <c r="H606" s="214"/>
      <c r="J606" s="41"/>
    </row>
    <row r="607" spans="1:10" hidden="1">
      <c r="A607" s="233">
        <v>43931</v>
      </c>
      <c r="B607" s="213"/>
      <c r="C607" s="213"/>
      <c r="D607" s="213"/>
      <c r="E607" s="214"/>
      <c r="F607" s="215">
        <v>3886.79</v>
      </c>
      <c r="G607" s="231">
        <v>25.170359397140295</v>
      </c>
      <c r="H607" s="214"/>
      <c r="J607" s="41"/>
    </row>
    <row r="608" spans="1:10" hidden="1">
      <c r="A608" s="233">
        <v>43938</v>
      </c>
      <c r="B608" s="213"/>
      <c r="C608" s="213"/>
      <c r="D608" s="213"/>
      <c r="E608" s="214"/>
      <c r="F608" s="215">
        <v>3942.92</v>
      </c>
      <c r="G608" s="231" t="s">
        <v>3346</v>
      </c>
      <c r="H608" s="214"/>
      <c r="J608" s="41"/>
    </row>
    <row r="609" spans="1:10" hidden="1">
      <c r="A609" s="233">
        <v>43945</v>
      </c>
      <c r="B609" s="213"/>
      <c r="C609" s="213"/>
      <c r="D609" s="213"/>
      <c r="E609" s="214"/>
      <c r="F609" s="215">
        <v>4020.94</v>
      </c>
      <c r="G609" s="231" t="s">
        <v>3347</v>
      </c>
      <c r="H609" s="214"/>
      <c r="J609" s="41"/>
    </row>
    <row r="610" spans="1:10" hidden="1">
      <c r="A610" s="233">
        <v>43952</v>
      </c>
      <c r="B610" s="213"/>
      <c r="C610" s="213"/>
      <c r="D610" s="213"/>
      <c r="E610" s="214"/>
      <c r="F610" s="215">
        <v>3932.72</v>
      </c>
      <c r="G610" s="231" t="s">
        <v>3348</v>
      </c>
      <c r="H610" s="214"/>
      <c r="J610" s="41"/>
    </row>
    <row r="611" spans="1:10" hidden="1">
      <c r="A611" s="233">
        <v>43959</v>
      </c>
      <c r="B611" s="213"/>
      <c r="C611" s="213"/>
      <c r="D611" s="213"/>
      <c r="E611" s="214"/>
      <c r="F611" s="215">
        <v>3924.54</v>
      </c>
      <c r="G611" s="231">
        <v>19.329999999999998</v>
      </c>
      <c r="H611" s="214"/>
      <c r="J611" s="41"/>
    </row>
    <row r="612" spans="1:10" hidden="1">
      <c r="A612" s="233">
        <v>43966</v>
      </c>
      <c r="B612" s="213"/>
      <c r="C612" s="213"/>
      <c r="D612" s="213"/>
      <c r="E612" s="214"/>
      <c r="F612" s="215">
        <v>3947.79</v>
      </c>
      <c r="G612" s="231">
        <v>20.170000000000002</v>
      </c>
      <c r="H612" s="214"/>
      <c r="J612" s="41"/>
    </row>
    <row r="613" spans="1:10" hidden="1">
      <c r="A613" s="233">
        <v>43973</v>
      </c>
      <c r="B613" s="213"/>
      <c r="C613" s="213"/>
      <c r="D613" s="213"/>
      <c r="E613" s="214"/>
      <c r="F613" s="215">
        <v>3774.25</v>
      </c>
      <c r="G613" s="231">
        <v>12.85</v>
      </c>
      <c r="H613" s="214"/>
      <c r="J613" s="41"/>
    </row>
    <row r="614" spans="1:10" hidden="1">
      <c r="A614" s="233">
        <v>43980</v>
      </c>
      <c r="B614" s="213"/>
      <c r="C614" s="213"/>
      <c r="D614" s="213"/>
      <c r="E614" s="214"/>
      <c r="F614" s="215">
        <v>3723.42</v>
      </c>
      <c r="G614" s="231">
        <v>10.73</v>
      </c>
      <c r="H614" s="214"/>
      <c r="J614" s="41"/>
    </row>
    <row r="615" spans="1:10" hidden="1">
      <c r="A615" s="233">
        <v>43987</v>
      </c>
      <c r="B615" s="213"/>
      <c r="C615" s="213"/>
      <c r="D615" s="213"/>
      <c r="E615" s="214"/>
      <c r="F615" s="215">
        <v>3597.47</v>
      </c>
      <c r="G615" s="231">
        <v>8.8000000000000007</v>
      </c>
      <c r="H615" s="214"/>
      <c r="J615" s="41"/>
    </row>
    <row r="616" spans="1:10" hidden="1">
      <c r="A616" s="233">
        <v>43994</v>
      </c>
      <c r="B616" s="213"/>
      <c r="C616" s="213"/>
      <c r="D616" s="213"/>
      <c r="E616" s="214"/>
      <c r="F616" s="215">
        <v>3746.46</v>
      </c>
      <c r="G616" s="231">
        <v>15.29</v>
      </c>
      <c r="H616" s="214"/>
      <c r="J616" s="41"/>
    </row>
    <row r="617" spans="1:10" hidden="1">
      <c r="A617" s="233">
        <v>44001</v>
      </c>
      <c r="B617" s="213"/>
      <c r="C617" s="213"/>
      <c r="D617" s="213"/>
      <c r="E617" s="214"/>
      <c r="F617" s="215">
        <v>3760.22</v>
      </c>
      <c r="G617" s="231">
        <v>15.17</v>
      </c>
      <c r="H617" s="214"/>
      <c r="J617" s="41"/>
    </row>
    <row r="618" spans="1:10" hidden="1">
      <c r="A618" s="233">
        <v>44008</v>
      </c>
      <c r="B618" s="213"/>
      <c r="C618" s="213"/>
      <c r="D618" s="213"/>
      <c r="E618" s="214"/>
      <c r="F618" s="215">
        <v>3735.93</v>
      </c>
      <c r="G618" s="231">
        <v>17.22</v>
      </c>
      <c r="H618" s="214"/>
      <c r="J618" s="41"/>
    </row>
    <row r="619" spans="1:10" hidden="1">
      <c r="A619" s="233">
        <v>44015</v>
      </c>
      <c r="B619" s="213"/>
      <c r="C619" s="213"/>
      <c r="D619" s="213"/>
      <c r="E619" s="214"/>
      <c r="F619" s="215">
        <v>3660.18</v>
      </c>
      <c r="G619" s="231">
        <v>13.99</v>
      </c>
      <c r="H619" s="214"/>
      <c r="J619" s="41"/>
    </row>
    <row r="620" spans="1:10" hidden="1">
      <c r="A620" s="233">
        <v>44022</v>
      </c>
      <c r="B620" s="213"/>
      <c r="C620" s="213"/>
      <c r="D620" s="213"/>
      <c r="E620" s="214"/>
      <c r="F620" s="215">
        <v>3633.42</v>
      </c>
      <c r="G620" s="231">
        <v>12.71</v>
      </c>
      <c r="H620" s="214"/>
      <c r="J620" s="41"/>
    </row>
    <row r="621" spans="1:10" hidden="1">
      <c r="A621" s="233">
        <v>44029</v>
      </c>
      <c r="B621" s="213"/>
      <c r="C621" s="213"/>
      <c r="D621" s="213"/>
      <c r="E621" s="214"/>
      <c r="F621" s="215">
        <v>3627.86</v>
      </c>
      <c r="G621" s="231">
        <v>13.38</v>
      </c>
      <c r="H621" s="214"/>
      <c r="J621" s="41"/>
    </row>
    <row r="622" spans="1:10" hidden="1">
      <c r="A622" s="233">
        <v>44036</v>
      </c>
      <c r="B622" s="213"/>
      <c r="C622" s="213"/>
      <c r="D622" s="213"/>
      <c r="E622" s="214"/>
      <c r="F622" s="215">
        <v>3660.15</v>
      </c>
      <c r="G622" s="231">
        <v>14.81</v>
      </c>
      <c r="H622" s="214"/>
      <c r="J622" s="41"/>
    </row>
    <row r="623" spans="1:10" hidden="1">
      <c r="A623" s="233">
        <v>44043</v>
      </c>
      <c r="B623" s="213"/>
      <c r="C623" s="213"/>
      <c r="D623" s="213"/>
      <c r="E623" s="214"/>
      <c r="F623" s="215">
        <v>3739.49</v>
      </c>
      <c r="G623" s="231">
        <v>13.43</v>
      </c>
      <c r="H623" s="214"/>
      <c r="J623" s="41"/>
    </row>
    <row r="624" spans="1:10" hidden="1">
      <c r="A624" s="233">
        <v>44050</v>
      </c>
      <c r="B624" s="213"/>
      <c r="C624" s="213"/>
      <c r="D624" s="213"/>
      <c r="E624" s="214"/>
      <c r="F624" s="215">
        <v>3769.67</v>
      </c>
      <c r="G624" s="231">
        <v>9.86</v>
      </c>
      <c r="H624" s="214"/>
      <c r="J624" s="41"/>
    </row>
    <row r="625" spans="1:10" hidden="1">
      <c r="A625" s="233">
        <v>44057</v>
      </c>
      <c r="B625" s="213"/>
      <c r="C625" s="213"/>
      <c r="D625" s="213"/>
      <c r="E625" s="214"/>
      <c r="F625" s="215">
        <v>3767.05</v>
      </c>
      <c r="G625" s="231">
        <v>10.54</v>
      </c>
      <c r="H625" s="214"/>
      <c r="J625" s="41"/>
    </row>
    <row r="626" spans="1:10" hidden="1">
      <c r="A626" s="233">
        <v>44064</v>
      </c>
      <c r="B626" s="213"/>
      <c r="C626" s="213"/>
      <c r="D626" s="213"/>
      <c r="E626" s="214"/>
      <c r="F626" s="215">
        <v>3792.13</v>
      </c>
      <c r="G626" s="231">
        <v>10.85</v>
      </c>
      <c r="H626" s="214"/>
      <c r="J626" s="41"/>
    </row>
    <row r="627" spans="1:10" hidden="1">
      <c r="A627" s="233">
        <v>44071</v>
      </c>
      <c r="B627" s="213"/>
      <c r="C627" s="213"/>
      <c r="D627" s="213"/>
      <c r="E627" s="214"/>
      <c r="F627" s="215">
        <v>3820.17</v>
      </c>
      <c r="G627" s="231">
        <v>10.48</v>
      </c>
      <c r="H627" s="214"/>
      <c r="J627" s="41"/>
    </row>
    <row r="628" spans="1:10" hidden="1">
      <c r="A628" s="233">
        <v>44078</v>
      </c>
      <c r="B628" s="213"/>
      <c r="C628" s="213"/>
      <c r="D628" s="213"/>
      <c r="E628" s="214"/>
      <c r="F628" s="215">
        <v>3653.23</v>
      </c>
      <c r="G628" s="231">
        <v>6.24</v>
      </c>
      <c r="H628" s="214"/>
      <c r="J628" s="41"/>
    </row>
    <row r="629" spans="1:10" hidden="1">
      <c r="A629" s="233">
        <v>44085</v>
      </c>
      <c r="B629" s="213"/>
      <c r="C629" s="213"/>
      <c r="D629" s="213"/>
      <c r="E629" s="214"/>
      <c r="F629" s="215">
        <v>3700.28</v>
      </c>
      <c r="G629" s="231">
        <v>9.68</v>
      </c>
      <c r="H629" s="214"/>
      <c r="J629" s="41"/>
    </row>
    <row r="630" spans="1:10" hidden="1">
      <c r="A630" s="233">
        <v>44092</v>
      </c>
      <c r="B630" s="213"/>
      <c r="C630" s="213"/>
      <c r="D630" s="213"/>
      <c r="E630" s="214"/>
      <c r="F630" s="215">
        <v>3714.65</v>
      </c>
      <c r="G630" s="231">
        <v>9.8699999999999992</v>
      </c>
      <c r="H630" s="214"/>
      <c r="J630" s="41"/>
    </row>
    <row r="631" spans="1:10" hidden="1">
      <c r="A631" s="233">
        <v>44099</v>
      </c>
      <c r="B631" s="213"/>
      <c r="C631" s="213"/>
      <c r="D631" s="213"/>
      <c r="E631" s="214"/>
      <c r="F631" s="215">
        <v>3873.8</v>
      </c>
      <c r="G631" s="231">
        <v>12.65</v>
      </c>
      <c r="H631" s="214"/>
      <c r="J631" s="41"/>
    </row>
    <row r="632" spans="1:10" hidden="1">
      <c r="A632" s="233">
        <v>44106</v>
      </c>
      <c r="B632" s="213"/>
      <c r="C632" s="213"/>
      <c r="D632" s="213"/>
      <c r="E632" s="214"/>
      <c r="F632" s="215">
        <v>3842.34</v>
      </c>
      <c r="G632" s="231">
        <v>10.06</v>
      </c>
      <c r="H632" s="214"/>
      <c r="J632" s="41"/>
    </row>
    <row r="633" spans="1:10" hidden="1">
      <c r="A633" s="233">
        <v>44113</v>
      </c>
      <c r="B633" s="213"/>
      <c r="C633" s="213"/>
      <c r="D633" s="213"/>
      <c r="E633" s="214"/>
      <c r="F633" s="215">
        <v>3839.73</v>
      </c>
      <c r="G633" s="231">
        <v>11.21</v>
      </c>
      <c r="H633" s="214"/>
      <c r="J633" s="41"/>
    </row>
    <row r="634" spans="1:10" hidden="1">
      <c r="A634" s="233">
        <v>44120</v>
      </c>
      <c r="B634" s="213"/>
      <c r="C634" s="213"/>
      <c r="D634" s="213"/>
      <c r="E634" s="214"/>
      <c r="F634" s="215">
        <v>3854.47</v>
      </c>
      <c r="G634" s="231">
        <v>11.68</v>
      </c>
      <c r="H634" s="214"/>
      <c r="J634" s="41"/>
    </row>
    <row r="635" spans="1:10" hidden="1">
      <c r="A635" s="233">
        <v>44127</v>
      </c>
      <c r="B635" s="213"/>
      <c r="C635" s="213"/>
      <c r="D635" s="213"/>
      <c r="E635" s="214"/>
      <c r="F635" s="215">
        <v>3776.73</v>
      </c>
      <c r="G635" s="231">
        <v>10.1</v>
      </c>
      <c r="H635" s="214"/>
      <c r="J635" s="41"/>
    </row>
    <row r="636" spans="1:10" hidden="1">
      <c r="A636" s="233">
        <v>44134</v>
      </c>
      <c r="B636" s="213"/>
      <c r="C636" s="213"/>
      <c r="D636" s="213"/>
      <c r="E636" s="214"/>
      <c r="F636" s="215">
        <v>3849.53</v>
      </c>
      <c r="G636" s="231">
        <v>13.86</v>
      </c>
      <c r="H636" s="214"/>
      <c r="J636" s="41"/>
    </row>
    <row r="637" spans="1:10" hidden="1">
      <c r="A637" s="233">
        <v>44141</v>
      </c>
      <c r="B637" s="213"/>
      <c r="C637" s="213"/>
      <c r="D637" s="213"/>
      <c r="E637" s="214"/>
      <c r="F637" s="215">
        <v>3763.82</v>
      </c>
      <c r="G637" s="231">
        <v>13.42</v>
      </c>
      <c r="H637" s="214"/>
      <c r="J637" s="41"/>
    </row>
    <row r="638" spans="1:10" hidden="1">
      <c r="A638" s="233">
        <v>44148</v>
      </c>
      <c r="B638" s="213"/>
      <c r="C638" s="213"/>
      <c r="D638" s="213"/>
      <c r="E638" s="214"/>
      <c r="F638" s="215">
        <v>3646.22</v>
      </c>
      <c r="G638" s="231">
        <v>7.74</v>
      </c>
      <c r="H638" s="214"/>
      <c r="J638" s="41"/>
    </row>
    <row r="639" spans="1:10" hidden="1">
      <c r="A639" s="233">
        <v>44155</v>
      </c>
      <c r="B639" s="213"/>
      <c r="C639" s="213"/>
      <c r="D639" s="213"/>
      <c r="E639" s="214"/>
      <c r="F639" s="215">
        <v>3647.1</v>
      </c>
      <c r="G639" s="231">
        <v>6.19</v>
      </c>
      <c r="H639" s="214"/>
      <c r="J639" s="41"/>
    </row>
    <row r="640" spans="1:10" hidden="1">
      <c r="A640" s="233">
        <v>44162</v>
      </c>
      <c r="B640" s="213"/>
      <c r="C640" s="213"/>
      <c r="D640" s="213"/>
      <c r="E640" s="214"/>
      <c r="F640" s="215">
        <v>3620.39</v>
      </c>
      <c r="G640" s="231">
        <v>4.3600000000000003</v>
      </c>
      <c r="H640" s="214"/>
      <c r="J640" s="41"/>
    </row>
    <row r="641" spans="1:10" hidden="1">
      <c r="A641" s="233">
        <v>44169</v>
      </c>
      <c r="B641" s="213"/>
      <c r="C641" s="213"/>
      <c r="D641" s="213"/>
      <c r="E641" s="214"/>
      <c r="F641" s="215">
        <v>3481.44</v>
      </c>
      <c r="G641" s="231">
        <v>-0.72</v>
      </c>
      <c r="H641" s="214"/>
      <c r="J641" s="41"/>
    </row>
    <row r="642" spans="1:10" hidden="1">
      <c r="A642" s="233">
        <v>44176</v>
      </c>
      <c r="B642" s="213"/>
      <c r="C642" s="213"/>
      <c r="D642" s="213"/>
      <c r="E642" s="214"/>
      <c r="F642" s="215">
        <v>3448.89</v>
      </c>
      <c r="G642" s="231">
        <v>0.89</v>
      </c>
      <c r="H642" s="214"/>
      <c r="J642" s="41"/>
    </row>
    <row r="643" spans="1:10" hidden="1">
      <c r="A643" s="233">
        <v>44183</v>
      </c>
      <c r="B643" s="213"/>
      <c r="C643" s="213"/>
      <c r="D643" s="213"/>
      <c r="E643" s="214"/>
      <c r="F643" s="215">
        <v>3410.82</v>
      </c>
      <c r="G643" s="231">
        <v>1.88</v>
      </c>
      <c r="H643" s="214"/>
      <c r="J643" s="41"/>
    </row>
    <row r="644" spans="1:10" hidden="1">
      <c r="A644" s="233">
        <v>44190</v>
      </c>
      <c r="B644" s="213"/>
      <c r="C644" s="213"/>
      <c r="D644" s="213"/>
      <c r="E644" s="214"/>
      <c r="F644" s="215">
        <v>3493.77</v>
      </c>
      <c r="G644" s="231">
        <v>5.68</v>
      </c>
      <c r="H644" s="214"/>
      <c r="J644" s="41"/>
    </row>
    <row r="645" spans="1:10" hidden="1">
      <c r="A645" s="233">
        <v>44197</v>
      </c>
      <c r="B645" s="213"/>
      <c r="C645" s="213"/>
      <c r="D645" s="213"/>
      <c r="E645" s="214"/>
      <c r="F645" s="215">
        <v>3432.5</v>
      </c>
      <c r="G645" s="231">
        <v>4.7407190416033584</v>
      </c>
      <c r="H645" s="214"/>
      <c r="J645" s="41"/>
    </row>
    <row r="646" spans="1:10" hidden="1">
      <c r="A646" s="233">
        <v>44204</v>
      </c>
      <c r="B646" s="213"/>
      <c r="C646" s="213"/>
      <c r="D646" s="213"/>
      <c r="E646" s="214"/>
      <c r="F646" s="215">
        <v>3459.39</v>
      </c>
      <c r="G646" s="231">
        <v>5.9777713785053779</v>
      </c>
      <c r="H646" s="214"/>
      <c r="J646" s="41"/>
    </row>
    <row r="647" spans="1:10" hidden="1">
      <c r="A647" s="233">
        <v>44211</v>
      </c>
      <c r="B647" s="213"/>
      <c r="C647" s="213"/>
      <c r="D647" s="213"/>
      <c r="E647" s="214"/>
      <c r="F647" s="215">
        <v>3469.76</v>
      </c>
      <c r="G647" s="231">
        <v>5.8231137326424376</v>
      </c>
      <c r="H647" s="214"/>
      <c r="J647" s="41"/>
    </row>
    <row r="648" spans="1:10" hidden="1">
      <c r="A648" s="233">
        <v>44218</v>
      </c>
      <c r="B648" s="213"/>
      <c r="C648" s="213"/>
      <c r="D648" s="213"/>
      <c r="E648" s="214"/>
      <c r="F648" s="215">
        <v>3477.48</v>
      </c>
      <c r="G648" s="231">
        <v>3.8701757215695798</v>
      </c>
      <c r="H648" s="214"/>
      <c r="J648" s="41"/>
    </row>
    <row r="649" spans="1:10" hidden="1">
      <c r="A649" s="233">
        <v>44225</v>
      </c>
      <c r="B649" s="213"/>
      <c r="C649" s="213"/>
      <c r="D649" s="213"/>
      <c r="E649" s="214"/>
      <c r="F649" s="215">
        <v>3585.44</v>
      </c>
      <c r="G649" s="231">
        <v>5.68</v>
      </c>
      <c r="H649" s="214"/>
      <c r="J649" s="41"/>
    </row>
    <row r="650" spans="1:10" hidden="1">
      <c r="A650" s="233">
        <v>44232</v>
      </c>
      <c r="B650" s="213"/>
      <c r="C650" s="213"/>
      <c r="D650" s="213"/>
      <c r="E650" s="214"/>
      <c r="F650" s="215">
        <v>3558.63</v>
      </c>
      <c r="G650" s="231">
        <v>5.63</v>
      </c>
      <c r="H650" s="214"/>
      <c r="J650" s="41"/>
    </row>
    <row r="651" spans="1:10" hidden="1">
      <c r="A651" s="233">
        <v>44239</v>
      </c>
      <c r="B651" s="213"/>
      <c r="C651" s="213"/>
      <c r="D651" s="213"/>
      <c r="E651" s="214"/>
      <c r="F651" s="215">
        <v>3525.45</v>
      </c>
      <c r="G651" s="231">
        <v>2.7</v>
      </c>
      <c r="H651" s="214"/>
      <c r="J651" s="41"/>
    </row>
    <row r="652" spans="1:10" hidden="1">
      <c r="A652" s="233">
        <v>44246</v>
      </c>
      <c r="B652" s="213"/>
      <c r="C652" s="213"/>
      <c r="D652" s="213"/>
      <c r="E652" s="214"/>
      <c r="F652" s="215">
        <v>3537.86</v>
      </c>
      <c r="G652" s="231">
        <v>3.74</v>
      </c>
      <c r="H652" s="214"/>
      <c r="J652" s="41"/>
    </row>
    <row r="653" spans="1:10" hidden="1">
      <c r="A653" s="233">
        <v>44253</v>
      </c>
      <c r="B653" s="213"/>
      <c r="C653" s="213"/>
      <c r="D653" s="213"/>
      <c r="E653" s="214"/>
      <c r="F653" s="215">
        <v>3588.23</v>
      </c>
      <c r="G653" s="231">
        <v>4.76</v>
      </c>
      <c r="H653" s="214"/>
      <c r="J653" s="41"/>
    </row>
    <row r="654" spans="1:10" hidden="1">
      <c r="A654" s="233">
        <v>44260</v>
      </c>
      <c r="B654" s="213"/>
      <c r="C654" s="213"/>
      <c r="D654" s="213"/>
      <c r="E654" s="214"/>
      <c r="F654" s="215">
        <v>3647.99</v>
      </c>
      <c r="G654" s="231">
        <v>5.48</v>
      </c>
      <c r="H654" s="214"/>
      <c r="J654" s="41"/>
    </row>
    <row r="655" spans="1:10" hidden="1">
      <c r="A655" s="233">
        <v>44267</v>
      </c>
      <c r="B655" s="213"/>
      <c r="C655" s="213"/>
      <c r="D655" s="213"/>
      <c r="E655" s="214"/>
      <c r="F655" s="215">
        <v>3534.62</v>
      </c>
      <c r="G655" s="231">
        <v>-7.84</v>
      </c>
      <c r="H655" s="214"/>
      <c r="J655" s="41"/>
    </row>
    <row r="656" spans="1:10" hidden="1">
      <c r="A656" s="233">
        <v>44274</v>
      </c>
      <c r="B656" s="213"/>
      <c r="C656" s="213"/>
      <c r="D656" s="213"/>
      <c r="E656" s="214"/>
      <c r="F656" s="215">
        <v>3569.45</v>
      </c>
      <c r="G656" s="231">
        <v>-13.54</v>
      </c>
      <c r="H656" s="214"/>
      <c r="J656" s="41"/>
    </row>
    <row r="657" spans="1:10" hidden="1">
      <c r="A657" s="233">
        <v>44281</v>
      </c>
      <c r="B657" s="213"/>
      <c r="C657" s="213"/>
      <c r="D657" s="213"/>
      <c r="E657" s="214"/>
      <c r="F657" s="215">
        <v>3658.22</v>
      </c>
      <c r="G657" s="231">
        <v>-10.48</v>
      </c>
      <c r="H657" s="214"/>
      <c r="J657" s="41"/>
    </row>
    <row r="658" spans="1:10" hidden="1">
      <c r="A658" s="233">
        <v>44288</v>
      </c>
      <c r="B658" s="213"/>
      <c r="C658" s="213"/>
      <c r="D658" s="213"/>
      <c r="E658" s="214"/>
      <c r="F658" s="215">
        <v>3678.62</v>
      </c>
      <c r="G658" s="231">
        <v>-9.86</v>
      </c>
      <c r="H658" s="214"/>
      <c r="J658" s="41"/>
    </row>
    <row r="659" spans="1:10" hidden="1">
      <c r="A659" s="233">
        <v>44295</v>
      </c>
      <c r="B659" s="213"/>
      <c r="C659" s="213"/>
      <c r="D659" s="213"/>
      <c r="E659" s="214"/>
      <c r="F659" s="215">
        <v>3634.07</v>
      </c>
      <c r="G659" s="231">
        <v>-6.5</v>
      </c>
      <c r="H659" s="214"/>
      <c r="J659" s="41"/>
    </row>
    <row r="660" spans="1:10" hidden="1">
      <c r="A660" s="233">
        <v>44302</v>
      </c>
      <c r="B660" s="213"/>
      <c r="C660" s="213"/>
      <c r="D660" s="213"/>
      <c r="E660" s="214"/>
      <c r="F660" s="215">
        <v>3620.4</v>
      </c>
      <c r="G660" s="231">
        <v>-7.66</v>
      </c>
      <c r="H660" s="214"/>
      <c r="J660" s="41"/>
    </row>
    <row r="661" spans="1:10" hidden="1">
      <c r="A661" s="233">
        <v>44309</v>
      </c>
      <c r="B661" s="213"/>
      <c r="C661" s="213"/>
      <c r="D661" s="213"/>
      <c r="E661" s="214"/>
      <c r="F661" s="215">
        <v>3630.81</v>
      </c>
      <c r="G661" s="231">
        <v>-10.08</v>
      </c>
      <c r="H661" s="214"/>
      <c r="J661" s="41"/>
    </row>
    <row r="662" spans="1:10" hidden="1">
      <c r="A662" s="233">
        <v>44316</v>
      </c>
      <c r="B662" s="213"/>
      <c r="C662" s="213"/>
      <c r="D662" s="213"/>
      <c r="E662" s="214"/>
      <c r="F662" s="215">
        <v>3712.89</v>
      </c>
      <c r="G662" s="231">
        <v>-6.79</v>
      </c>
      <c r="H662" s="214"/>
      <c r="J662" s="41"/>
    </row>
    <row r="663" spans="1:10" hidden="1">
      <c r="A663" s="233">
        <v>44323</v>
      </c>
      <c r="B663" s="213"/>
      <c r="C663" s="213"/>
      <c r="D663" s="213"/>
      <c r="E663" s="214"/>
      <c r="F663" s="215">
        <v>3800.33</v>
      </c>
      <c r="G663" s="231">
        <v>-4.07</v>
      </c>
      <c r="H663" s="214"/>
      <c r="J663" s="41"/>
    </row>
    <row r="664" spans="1:10" hidden="1">
      <c r="A664" s="233">
        <v>44330</v>
      </c>
      <c r="B664" s="213"/>
      <c r="C664" s="213"/>
      <c r="D664" s="213"/>
      <c r="E664" s="214"/>
      <c r="F664" s="215">
        <v>3728.09</v>
      </c>
      <c r="G664" s="231">
        <v>-4.4400000000000004</v>
      </c>
      <c r="H664" s="214"/>
      <c r="J664" s="41"/>
    </row>
    <row r="665" spans="1:10" hidden="1">
      <c r="A665" s="233">
        <v>44337</v>
      </c>
      <c r="B665" s="213"/>
      <c r="C665" s="213"/>
      <c r="D665" s="213"/>
      <c r="E665" s="214"/>
      <c r="F665" s="215">
        <v>3721.57</v>
      </c>
      <c r="G665" s="231">
        <v>-2.17</v>
      </c>
      <c r="H665" s="214"/>
      <c r="J665" s="41"/>
    </row>
    <row r="666" spans="1:10" hidden="1">
      <c r="A666" s="233">
        <v>44344</v>
      </c>
      <c r="B666" s="213"/>
      <c r="C666" s="213"/>
      <c r="D666" s="213"/>
      <c r="E666" s="214"/>
      <c r="F666" s="215">
        <v>3729.02</v>
      </c>
      <c r="G666" s="231">
        <v>-0.39</v>
      </c>
      <c r="H666" s="214"/>
      <c r="J666" s="41"/>
    </row>
    <row r="667" spans="1:10" hidden="1">
      <c r="A667" s="233">
        <v>44351</v>
      </c>
      <c r="B667" s="213"/>
      <c r="C667" s="213"/>
      <c r="D667" s="213"/>
      <c r="E667" s="214"/>
      <c r="F667" s="215">
        <v>3657.41</v>
      </c>
      <c r="G667" s="231">
        <v>1.91</v>
      </c>
      <c r="H667" s="214"/>
      <c r="J667" s="41"/>
    </row>
    <row r="668" spans="1:10" hidden="1">
      <c r="A668" s="233">
        <v>44358</v>
      </c>
      <c r="B668" s="213"/>
      <c r="C668" s="213"/>
      <c r="D668" s="213"/>
      <c r="E668" s="214"/>
      <c r="F668" s="215">
        <v>3589.86</v>
      </c>
      <c r="G668" s="231">
        <v>-2.31</v>
      </c>
      <c r="H668" s="214"/>
      <c r="J668" s="41"/>
    </row>
    <row r="669" spans="1:10" hidden="1">
      <c r="A669" s="233">
        <v>44365</v>
      </c>
      <c r="B669" s="213"/>
      <c r="C669" s="213"/>
      <c r="D669" s="213"/>
      <c r="E669" s="214"/>
      <c r="F669" s="215">
        <v>3730.45</v>
      </c>
      <c r="G669" s="231">
        <v>-0.5</v>
      </c>
      <c r="H669" s="214"/>
      <c r="J669" s="41"/>
    </row>
    <row r="670" spans="1:10" hidden="1">
      <c r="A670" s="233">
        <v>44372</v>
      </c>
      <c r="B670" s="213"/>
      <c r="C670" s="213"/>
      <c r="D670" s="213"/>
      <c r="E670" s="214"/>
      <c r="F670" s="215">
        <v>3770.35</v>
      </c>
      <c r="G670" s="231">
        <v>1.29</v>
      </c>
      <c r="H670" s="214"/>
      <c r="J670" s="41"/>
    </row>
    <row r="671" spans="1:10" hidden="1">
      <c r="A671" s="233">
        <v>44379</v>
      </c>
      <c r="B671" s="213"/>
      <c r="C671" s="213"/>
      <c r="D671" s="213"/>
      <c r="E671" s="214"/>
      <c r="F671" s="215">
        <v>3775.53</v>
      </c>
      <c r="G671" s="231">
        <v>1.39</v>
      </c>
      <c r="H671" s="214"/>
      <c r="J671" s="41"/>
    </row>
    <row r="672" spans="1:10" hidden="1">
      <c r="A672" s="233">
        <v>44386</v>
      </c>
      <c r="B672" s="213"/>
      <c r="C672" s="213"/>
      <c r="D672" s="213"/>
      <c r="E672" s="214"/>
      <c r="F672" s="215">
        <v>3850.46</v>
      </c>
      <c r="G672" s="231">
        <v>6.2</v>
      </c>
      <c r="H672" s="214"/>
      <c r="J672" s="41"/>
    </row>
    <row r="673" spans="1:10" hidden="1">
      <c r="A673" s="233">
        <v>44393</v>
      </c>
      <c r="B673" s="213"/>
      <c r="C673" s="213"/>
      <c r="D673" s="213"/>
      <c r="E673" s="214"/>
      <c r="F673" s="215">
        <v>3809.07</v>
      </c>
      <c r="G673" s="231">
        <v>5.47</v>
      </c>
      <c r="H673" s="214"/>
      <c r="J673" s="41"/>
    </row>
    <row r="674" spans="1:10" hidden="1">
      <c r="A674" s="233">
        <v>44400</v>
      </c>
      <c r="B674" s="213"/>
      <c r="C674" s="213"/>
      <c r="D674" s="213"/>
      <c r="E674" s="214"/>
      <c r="F674" s="215">
        <v>3866.86</v>
      </c>
      <c r="G674" s="231">
        <v>6.6</v>
      </c>
      <c r="H674" s="214"/>
      <c r="J674" s="41"/>
    </row>
    <row r="675" spans="1:10" hidden="1">
      <c r="A675" s="233">
        <v>44407</v>
      </c>
      <c r="B675" s="213"/>
      <c r="C675" s="213"/>
      <c r="D675" s="213"/>
      <c r="E675" s="214"/>
      <c r="F675" s="215">
        <v>3836.95</v>
      </c>
      <c r="G675" s="231">
        <v>3.23</v>
      </c>
      <c r="H675" s="214"/>
      <c r="J675" s="41"/>
    </row>
    <row r="676" spans="1:10" hidden="1">
      <c r="A676" s="233">
        <v>44414</v>
      </c>
      <c r="B676" s="213"/>
      <c r="C676" s="213"/>
      <c r="D676" s="213"/>
      <c r="E676" s="214"/>
      <c r="F676" s="215">
        <v>3910.81</v>
      </c>
      <c r="G676" s="231">
        <v>3.57</v>
      </c>
      <c r="H676" s="214"/>
      <c r="J676" s="41"/>
    </row>
    <row r="677" spans="1:10" hidden="1">
      <c r="A677" s="233">
        <v>44421</v>
      </c>
      <c r="B677" s="213"/>
      <c r="C677" s="213"/>
      <c r="D677" s="213"/>
      <c r="E677" s="214"/>
      <c r="F677" s="215">
        <v>3887.07</v>
      </c>
      <c r="G677" s="231">
        <v>3.5</v>
      </c>
      <c r="H677" s="214"/>
      <c r="J677" s="41"/>
    </row>
    <row r="678" spans="1:10" hidden="1">
      <c r="A678" s="233">
        <v>44428</v>
      </c>
      <c r="B678" s="213"/>
      <c r="C678" s="213"/>
      <c r="D678" s="213"/>
      <c r="E678" s="214"/>
      <c r="F678" s="215">
        <v>3876.08</v>
      </c>
      <c r="G678" s="231">
        <v>2.9</v>
      </c>
      <c r="H678" s="214"/>
      <c r="J678" s="41"/>
    </row>
    <row r="679" spans="1:10" hidden="1">
      <c r="A679" s="233">
        <v>44435</v>
      </c>
      <c r="B679" s="213"/>
      <c r="C679" s="213"/>
      <c r="D679" s="213"/>
      <c r="E679" s="214"/>
      <c r="F679" s="215">
        <v>3870.57</v>
      </c>
      <c r="G679" s="231">
        <v>0.62</v>
      </c>
      <c r="H679" s="214"/>
      <c r="J679" s="41"/>
    </row>
    <row r="680" spans="1:10" hidden="1">
      <c r="A680" s="233">
        <v>44442</v>
      </c>
      <c r="B680" s="213"/>
      <c r="C680" s="213"/>
      <c r="D680" s="213"/>
      <c r="E680" s="214"/>
      <c r="F680" s="215">
        <v>3780.85</v>
      </c>
      <c r="G680" s="231">
        <v>3.48</v>
      </c>
      <c r="H680" s="214"/>
      <c r="J680" s="41"/>
    </row>
    <row r="681" spans="1:10" hidden="1">
      <c r="A681" s="233">
        <v>44449</v>
      </c>
      <c r="B681" s="213"/>
      <c r="C681" s="213"/>
      <c r="D681" s="213"/>
      <c r="E681" s="214"/>
      <c r="F681" s="215">
        <v>3829.72</v>
      </c>
      <c r="G681" s="231">
        <v>3.03</v>
      </c>
      <c r="H681" s="214"/>
      <c r="J681" s="41"/>
    </row>
    <row r="682" spans="1:10" hidden="1">
      <c r="A682" s="233">
        <v>44456</v>
      </c>
      <c r="B682" s="213"/>
      <c r="C682" s="213"/>
      <c r="D682" s="213"/>
      <c r="E682" s="214"/>
      <c r="F682" s="215">
        <v>3818.16</v>
      </c>
      <c r="G682" s="231">
        <v>3.09</v>
      </c>
      <c r="H682" s="214"/>
      <c r="J682" s="41"/>
    </row>
    <row r="683" spans="1:10" hidden="1">
      <c r="A683" s="233">
        <v>44463</v>
      </c>
      <c r="B683" s="213"/>
      <c r="C683" s="213"/>
      <c r="D683" s="213"/>
      <c r="E683" s="214"/>
      <c r="F683" s="215">
        <v>3835.67</v>
      </c>
      <c r="G683" s="231">
        <v>-0.72</v>
      </c>
      <c r="H683" s="214"/>
      <c r="J683" s="41"/>
    </row>
    <row r="684" spans="1:10" hidden="1">
      <c r="A684" s="233">
        <v>44470</v>
      </c>
      <c r="B684" s="213"/>
      <c r="C684" s="213"/>
      <c r="D684" s="213"/>
      <c r="E684" s="214"/>
      <c r="F684" s="215">
        <v>3812.77</v>
      </c>
      <c r="G684" s="231">
        <v>-1.36</v>
      </c>
      <c r="H684" s="214"/>
      <c r="J684" s="41"/>
    </row>
    <row r="685" spans="1:10" hidden="1">
      <c r="A685" s="233">
        <v>44477</v>
      </c>
      <c r="B685" s="213"/>
      <c r="C685" s="213"/>
      <c r="D685" s="213"/>
      <c r="E685" s="214"/>
      <c r="F685" s="215">
        <v>3772.44</v>
      </c>
      <c r="G685" s="231">
        <v>-1.7</v>
      </c>
      <c r="H685" s="214"/>
      <c r="J685" s="41"/>
    </row>
    <row r="686" spans="1:10" hidden="1">
      <c r="A686" s="233">
        <v>44484</v>
      </c>
      <c r="B686" s="213"/>
      <c r="C686" s="213"/>
      <c r="D686" s="213"/>
      <c r="E686" s="214"/>
      <c r="F686" s="215">
        <v>3755.29</v>
      </c>
      <c r="G686" s="231">
        <v>-2.2999999999999998</v>
      </c>
      <c r="H686" s="214"/>
      <c r="J686" s="41"/>
    </row>
    <row r="687" spans="1:10" hidden="1">
      <c r="A687" s="233">
        <v>44491</v>
      </c>
      <c r="B687" s="213"/>
      <c r="C687" s="213"/>
      <c r="D687" s="213"/>
      <c r="E687" s="214"/>
      <c r="F687" s="215">
        <v>3783.3</v>
      </c>
      <c r="G687" s="231">
        <v>-0.03</v>
      </c>
      <c r="H687" s="214"/>
      <c r="J687" s="41"/>
    </row>
    <row r="688" spans="1:10" hidden="1">
      <c r="A688" s="233">
        <v>44498</v>
      </c>
      <c r="B688" s="213"/>
      <c r="C688" s="213"/>
      <c r="D688" s="213"/>
      <c r="E688" s="214"/>
      <c r="F688" s="215">
        <v>3766.1</v>
      </c>
      <c r="G688" s="231">
        <v>-1.96</v>
      </c>
      <c r="H688" s="214"/>
      <c r="J688" s="41"/>
    </row>
    <row r="689" spans="1:10" hidden="1">
      <c r="A689" s="233">
        <v>44505</v>
      </c>
      <c r="B689" s="213"/>
      <c r="C689" s="213"/>
      <c r="D689" s="213"/>
      <c r="E689" s="214"/>
      <c r="F689" s="215">
        <v>3847.4</v>
      </c>
      <c r="G689" s="231">
        <v>1.06</v>
      </c>
      <c r="H689" s="214"/>
      <c r="J689" s="41"/>
    </row>
    <row r="690" spans="1:10" hidden="1">
      <c r="A690" s="233">
        <v>44512</v>
      </c>
      <c r="B690" s="213"/>
      <c r="C690" s="213"/>
      <c r="D690" s="213"/>
      <c r="E690" s="214"/>
      <c r="F690" s="215">
        <v>3875.38</v>
      </c>
      <c r="G690" s="231">
        <v>6.16</v>
      </c>
      <c r="H690" s="214"/>
      <c r="J690" s="41"/>
    </row>
    <row r="691" spans="1:10" hidden="1">
      <c r="A691" s="233">
        <v>44519</v>
      </c>
      <c r="B691" s="213"/>
      <c r="C691" s="213"/>
      <c r="D691" s="213"/>
      <c r="E691" s="214"/>
      <c r="F691" s="215">
        <v>3943.43</v>
      </c>
      <c r="G691" s="231">
        <v>8.11</v>
      </c>
      <c r="H691" s="214"/>
      <c r="J691" s="41"/>
    </row>
    <row r="692" spans="1:10" hidden="1">
      <c r="A692" s="233">
        <v>44526</v>
      </c>
      <c r="B692" s="213"/>
      <c r="C692" s="213"/>
      <c r="D692" s="213"/>
      <c r="E692" s="214"/>
      <c r="F692" s="215">
        <v>3969.49</v>
      </c>
      <c r="G692" s="231">
        <v>9.64</v>
      </c>
      <c r="H692" s="214"/>
      <c r="J692" s="41"/>
    </row>
    <row r="693" spans="1:10" hidden="1">
      <c r="A693" s="233">
        <v>44533</v>
      </c>
      <c r="B693" s="213"/>
      <c r="C693" s="213"/>
      <c r="D693" s="213"/>
      <c r="E693" s="214"/>
      <c r="F693" s="215">
        <v>3945.18</v>
      </c>
      <c r="G693" s="231">
        <v>11.66</v>
      </c>
      <c r="H693" s="214"/>
      <c r="J693" s="41"/>
    </row>
    <row r="694" spans="1:10" hidden="1">
      <c r="A694" s="233">
        <v>44540</v>
      </c>
      <c r="B694" s="213"/>
      <c r="C694" s="213"/>
      <c r="D694" s="213"/>
      <c r="E694" s="214"/>
      <c r="F694" s="215">
        <v>3899.87</v>
      </c>
      <c r="G694" s="231">
        <v>12.53</v>
      </c>
      <c r="H694" s="214"/>
      <c r="J694" s="41"/>
    </row>
    <row r="695" spans="1:10" hidden="1">
      <c r="A695" s="233">
        <v>44547</v>
      </c>
      <c r="B695" s="213"/>
      <c r="C695" s="213"/>
      <c r="D695" s="213"/>
      <c r="E695" s="214"/>
      <c r="F695" s="215">
        <v>4002.97</v>
      </c>
      <c r="G695" s="231">
        <v>17.18</v>
      </c>
      <c r="H695" s="214"/>
      <c r="J695" s="41"/>
    </row>
    <row r="696" spans="1:10" hidden="1">
      <c r="A696" s="233">
        <v>44554</v>
      </c>
      <c r="B696" s="213"/>
      <c r="C696" s="213"/>
      <c r="D696" s="213"/>
      <c r="E696" s="214"/>
      <c r="F696" s="215">
        <v>3997.09</v>
      </c>
      <c r="G696" s="231">
        <v>14.78</v>
      </c>
      <c r="H696" s="214"/>
      <c r="J696" s="41"/>
    </row>
    <row r="697" spans="1:10" hidden="1">
      <c r="A697" s="233">
        <v>44561</v>
      </c>
      <c r="B697" s="213"/>
      <c r="C697" s="213"/>
      <c r="D697" s="213"/>
      <c r="E697" s="214"/>
      <c r="F697" s="215">
        <v>3981.16</v>
      </c>
      <c r="G697" s="231">
        <v>15.984268026219951</v>
      </c>
      <c r="H697" s="214"/>
      <c r="J697" s="41"/>
    </row>
    <row r="698" spans="1:10" hidden="1">
      <c r="A698" s="233">
        <v>44568</v>
      </c>
      <c r="B698" s="213"/>
      <c r="C698" s="213"/>
      <c r="D698" s="213"/>
      <c r="E698" s="214"/>
      <c r="F698" s="215">
        <v>4039.31</v>
      </c>
      <c r="G698" s="231">
        <v>17.831472211526123</v>
      </c>
      <c r="H698" s="214"/>
      <c r="J698" s="41"/>
    </row>
    <row r="699" spans="1:10" hidden="1">
      <c r="A699" s="233">
        <v>44575</v>
      </c>
      <c r="B699" s="213"/>
      <c r="C699" s="213"/>
      <c r="D699" s="213"/>
      <c r="E699" s="214"/>
      <c r="F699" s="215">
        <v>3950.4</v>
      </c>
      <c r="G699" s="231">
        <v>13.57076323324784</v>
      </c>
      <c r="H699" s="214"/>
      <c r="J699" s="41"/>
    </row>
    <row r="700" spans="1:10" hidden="1">
      <c r="A700" s="233">
        <v>44582</v>
      </c>
      <c r="B700" s="213"/>
      <c r="C700" s="213"/>
      <c r="D700" s="213"/>
      <c r="E700" s="214"/>
      <c r="F700" s="215">
        <v>3980.8</v>
      </c>
      <c r="G700" s="231">
        <v>14.516180070709606</v>
      </c>
      <c r="H700" s="214"/>
      <c r="J700" s="41"/>
    </row>
    <row r="701" spans="1:10" hidden="1">
      <c r="A701" s="233">
        <v>44589</v>
      </c>
      <c r="B701" s="213"/>
      <c r="C701" s="213"/>
      <c r="D701" s="213"/>
      <c r="E701" s="214"/>
      <c r="F701" s="215">
        <v>3944.04</v>
      </c>
      <c r="G701" s="231">
        <v>8.44</v>
      </c>
      <c r="H701" s="214"/>
      <c r="J701" s="41"/>
    </row>
    <row r="702" spans="1:10" hidden="1">
      <c r="A702" s="233">
        <v>44596</v>
      </c>
      <c r="B702" s="213"/>
      <c r="C702" s="213"/>
      <c r="D702" s="213"/>
      <c r="E702" s="214"/>
      <c r="F702" s="215">
        <v>3951.96</v>
      </c>
      <c r="G702" s="231">
        <v>12.19</v>
      </c>
      <c r="H702" s="214"/>
      <c r="J702" s="41"/>
    </row>
    <row r="703" spans="1:10" hidden="1">
      <c r="A703" s="233">
        <v>44603</v>
      </c>
      <c r="B703" s="213"/>
      <c r="C703" s="213"/>
      <c r="D703" s="213"/>
      <c r="E703" s="214"/>
      <c r="F703" s="215">
        <v>3917.75</v>
      </c>
      <c r="G703" s="231">
        <v>10.14</v>
      </c>
      <c r="H703" s="214"/>
      <c r="J703" s="41"/>
    </row>
    <row r="704" spans="1:10" hidden="1">
      <c r="A704" s="233">
        <v>44610</v>
      </c>
      <c r="B704" s="213"/>
      <c r="C704" s="213"/>
      <c r="D704" s="213"/>
      <c r="E704" s="214"/>
      <c r="F704" s="215">
        <v>3953.26</v>
      </c>
      <c r="G704" s="231">
        <v>11.490084154953406</v>
      </c>
      <c r="H704" s="214"/>
      <c r="J704" s="41"/>
    </row>
    <row r="705" spans="1:10" hidden="1">
      <c r="A705" s="233">
        <v>44617</v>
      </c>
      <c r="B705" s="213"/>
      <c r="C705" s="213"/>
      <c r="D705" s="213"/>
      <c r="E705" s="214"/>
      <c r="F705" s="215">
        <v>3940.2</v>
      </c>
      <c r="G705" s="231">
        <v>10.11</v>
      </c>
      <c r="H705" s="214"/>
      <c r="J705" s="41"/>
    </row>
    <row r="706" spans="1:10" hidden="1">
      <c r="A706" s="233">
        <v>44624</v>
      </c>
      <c r="B706" s="213"/>
      <c r="C706" s="213"/>
      <c r="D706" s="213"/>
      <c r="E706" s="214"/>
      <c r="F706" s="215">
        <v>3771.77</v>
      </c>
      <c r="G706" s="231">
        <v>2.58</v>
      </c>
      <c r="H706" s="214"/>
      <c r="J706" s="41"/>
    </row>
    <row r="707" spans="1:10" hidden="1">
      <c r="A707" s="233">
        <v>44631</v>
      </c>
      <c r="B707" s="213"/>
      <c r="C707" s="213"/>
      <c r="D707" s="213"/>
      <c r="E707" s="214"/>
      <c r="F707" s="215">
        <v>3786</v>
      </c>
      <c r="G707" s="231">
        <v>6.29</v>
      </c>
      <c r="H707" s="214"/>
      <c r="J707" s="41"/>
    </row>
    <row r="708" spans="1:10" hidden="1">
      <c r="A708" s="233">
        <v>44638</v>
      </c>
      <c r="B708" s="213"/>
      <c r="C708" s="213"/>
      <c r="D708" s="213"/>
      <c r="E708" s="214"/>
      <c r="F708" s="215">
        <v>3816.43</v>
      </c>
      <c r="G708" s="231">
        <v>6.66</v>
      </c>
      <c r="H708" s="214"/>
      <c r="J708" s="41"/>
    </row>
    <row r="709" spans="1:10" hidden="1">
      <c r="A709" s="233">
        <v>44645</v>
      </c>
      <c r="B709" s="213"/>
      <c r="C709" s="213"/>
      <c r="D709" s="213"/>
      <c r="E709" s="214"/>
      <c r="F709" s="215">
        <v>3798.9</v>
      </c>
      <c r="G709" s="231">
        <v>4.51</v>
      </c>
      <c r="H709" s="214"/>
      <c r="J709" s="41"/>
    </row>
    <row r="710" spans="1:10" hidden="1">
      <c r="A710" s="233">
        <v>44652</v>
      </c>
      <c r="B710" s="213"/>
      <c r="C710" s="213"/>
      <c r="D710" s="213"/>
      <c r="E710" s="214"/>
      <c r="F710" s="215">
        <v>3756.03</v>
      </c>
      <c r="G710" s="231">
        <v>2.1</v>
      </c>
      <c r="H710" s="214"/>
      <c r="J710" s="41"/>
    </row>
    <row r="711" spans="1:10" hidden="1">
      <c r="A711" s="233">
        <v>44659</v>
      </c>
      <c r="B711" s="213"/>
      <c r="C711" s="213"/>
      <c r="D711" s="213"/>
      <c r="E711" s="214"/>
      <c r="F711" s="215">
        <v>3771.83</v>
      </c>
      <c r="G711" s="231">
        <v>3.63</v>
      </c>
      <c r="H711" s="214"/>
      <c r="J711" s="41"/>
    </row>
    <row r="712" spans="1:10" hidden="1">
      <c r="A712" s="233">
        <v>44666</v>
      </c>
      <c r="B712" s="213"/>
      <c r="C712" s="213"/>
      <c r="D712" s="213"/>
      <c r="E712" s="214"/>
      <c r="F712" s="215">
        <v>3737.32</v>
      </c>
      <c r="G712" s="231">
        <v>1.96</v>
      </c>
      <c r="H712" s="214"/>
      <c r="J712" s="41"/>
    </row>
    <row r="713" spans="1:10" hidden="1">
      <c r="A713" s="233">
        <v>44673</v>
      </c>
      <c r="B713" s="213"/>
      <c r="C713" s="213"/>
      <c r="D713" s="213"/>
      <c r="E713" s="214"/>
      <c r="F713" s="215">
        <v>3759.54</v>
      </c>
      <c r="G713" s="231">
        <v>3.31</v>
      </c>
      <c r="H713" s="214"/>
      <c r="J713" s="41"/>
    </row>
    <row r="714" spans="1:10" hidden="1">
      <c r="A714" s="233">
        <v>44680</v>
      </c>
      <c r="B714" s="213"/>
      <c r="C714" s="213"/>
      <c r="D714" s="213"/>
      <c r="E714" s="214"/>
      <c r="F714" s="215">
        <v>3984.77</v>
      </c>
      <c r="G714" s="231">
        <v>7.7</v>
      </c>
      <c r="H714" s="214"/>
      <c r="J714" s="41"/>
    </row>
    <row r="715" spans="1:10" hidden="1">
      <c r="A715" s="233">
        <v>44687</v>
      </c>
      <c r="B715" s="213"/>
      <c r="C715" s="213"/>
      <c r="D715" s="213"/>
      <c r="E715" s="214"/>
      <c r="F715" s="215">
        <v>4086.08</v>
      </c>
      <c r="G715" s="231">
        <v>6.23</v>
      </c>
      <c r="H715" s="214"/>
      <c r="J715" s="41"/>
    </row>
    <row r="716" spans="1:10" hidden="1">
      <c r="A716" s="233">
        <v>44694</v>
      </c>
      <c r="B716" s="213"/>
      <c r="C716" s="213"/>
      <c r="D716" s="213"/>
      <c r="E716" s="214"/>
      <c r="F716" s="215">
        <v>4109.71</v>
      </c>
      <c r="G716" s="231">
        <v>10.06</v>
      </c>
      <c r="H716" s="214"/>
      <c r="J716" s="41"/>
    </row>
    <row r="717" spans="1:10" hidden="1">
      <c r="A717" s="233">
        <v>44701</v>
      </c>
      <c r="B717" s="213"/>
      <c r="C717" s="213"/>
      <c r="D717" s="213"/>
      <c r="E717" s="214"/>
      <c r="F717" s="215">
        <v>4050.88</v>
      </c>
      <c r="G717" s="231">
        <v>10</v>
      </c>
      <c r="H717" s="214"/>
      <c r="J717" s="41"/>
    </row>
    <row r="718" spans="1:10" hidden="1">
      <c r="A718" s="233">
        <v>44708</v>
      </c>
      <c r="B718" s="213"/>
      <c r="C718" s="213"/>
      <c r="D718" s="213"/>
      <c r="E718" s="214"/>
      <c r="F718" s="215">
        <v>3930.89</v>
      </c>
      <c r="G718" s="231">
        <v>4.8899999999999997</v>
      </c>
      <c r="H718" s="214"/>
      <c r="J718" s="41"/>
    </row>
    <row r="719" spans="1:10" hidden="1">
      <c r="A719" s="233">
        <v>44715</v>
      </c>
      <c r="B719" s="213"/>
      <c r="C719" s="213"/>
      <c r="D719" s="213"/>
      <c r="E719" s="214"/>
      <c r="F719" s="215">
        <v>3784.98</v>
      </c>
      <c r="G719" s="231">
        <v>3.92</v>
      </c>
      <c r="H719" s="214"/>
      <c r="J719" s="41"/>
    </row>
    <row r="720" spans="1:10" hidden="1">
      <c r="A720" s="233">
        <v>44722</v>
      </c>
      <c r="B720" s="213"/>
      <c r="C720" s="213"/>
      <c r="D720" s="213"/>
      <c r="E720" s="214"/>
      <c r="F720" s="215">
        <v>3833.34</v>
      </c>
      <c r="G720" s="231">
        <v>6.8255857050894431</v>
      </c>
      <c r="H720" s="214"/>
      <c r="J720" s="41"/>
    </row>
    <row r="721" spans="1:10" hidden="1">
      <c r="A721" s="233">
        <v>44729</v>
      </c>
      <c r="B721" s="213"/>
      <c r="C721" s="213"/>
      <c r="D721" s="213"/>
      <c r="E721" s="214"/>
      <c r="F721" s="215">
        <v>3912.15</v>
      </c>
      <c r="G721" s="231">
        <v>6</v>
      </c>
      <c r="H721" s="214"/>
      <c r="J721" s="41"/>
    </row>
    <row r="722" spans="1:10" hidden="1">
      <c r="A722" s="233">
        <v>44736</v>
      </c>
      <c r="B722" s="213"/>
      <c r="C722" s="213"/>
      <c r="D722" s="213"/>
      <c r="E722" s="214"/>
      <c r="F722" s="215">
        <v>4068.75</v>
      </c>
      <c r="G722" s="231">
        <v>7.84</v>
      </c>
      <c r="H722" s="214"/>
      <c r="J722" s="41"/>
    </row>
    <row r="723" spans="1:10" hidden="1">
      <c r="A723" s="233">
        <v>44743</v>
      </c>
      <c r="B723" s="213"/>
      <c r="C723" s="213"/>
      <c r="D723" s="213"/>
      <c r="E723" s="214"/>
      <c r="F723" s="215">
        <v>4151.21</v>
      </c>
      <c r="G723" s="231">
        <v>10.74</v>
      </c>
      <c r="H723" s="214"/>
      <c r="J723" s="41"/>
    </row>
    <row r="724" spans="1:10" hidden="1">
      <c r="A724" s="233">
        <v>44750</v>
      </c>
      <c r="B724" s="213"/>
      <c r="C724" s="213"/>
      <c r="D724" s="213"/>
      <c r="E724" s="214"/>
      <c r="F724" s="215">
        <v>4369.7</v>
      </c>
      <c r="G724" s="231">
        <v>14.53</v>
      </c>
      <c r="H724" s="214"/>
      <c r="J724" s="41"/>
    </row>
    <row r="725" spans="1:10" hidden="1">
      <c r="A725" s="233">
        <v>44757</v>
      </c>
      <c r="B725" s="213"/>
      <c r="C725" s="213"/>
      <c r="D725" s="213"/>
      <c r="E725" s="214"/>
      <c r="F725" s="215">
        <v>4519.6499999999996</v>
      </c>
      <c r="G725" s="231">
        <v>19.059999999999999</v>
      </c>
      <c r="H725" s="214"/>
      <c r="J725" s="41"/>
    </row>
    <row r="726" spans="1:10" hidden="1">
      <c r="A726" s="233">
        <v>44764</v>
      </c>
      <c r="B726" s="213"/>
      <c r="C726" s="213"/>
      <c r="D726" s="213"/>
      <c r="E726" s="214"/>
      <c r="F726" s="215">
        <v>4410.1400000000003</v>
      </c>
      <c r="G726" s="231">
        <v>14.38</v>
      </c>
      <c r="H726" s="214"/>
      <c r="J726" s="41"/>
    </row>
    <row r="727" spans="1:10" hidden="1">
      <c r="A727" s="233">
        <v>44771</v>
      </c>
      <c r="B727" s="213"/>
      <c r="C727" s="213"/>
      <c r="D727" s="213"/>
      <c r="E727" s="214"/>
      <c r="F727" s="215">
        <v>4375.51</v>
      </c>
      <c r="G727" s="231">
        <v>12.13</v>
      </c>
      <c r="H727" s="214"/>
      <c r="J727" s="41"/>
    </row>
    <row r="728" spans="1:10" hidden="1">
      <c r="A728" s="233">
        <v>44778</v>
      </c>
      <c r="B728" s="213"/>
      <c r="C728" s="213"/>
      <c r="D728" s="213"/>
      <c r="E728" s="214"/>
      <c r="F728" s="215">
        <v>4268.3</v>
      </c>
      <c r="G728" s="231">
        <v>9.1300000000000008</v>
      </c>
      <c r="H728" s="214"/>
      <c r="J728" s="41"/>
    </row>
    <row r="729" spans="1:10" hidden="1">
      <c r="A729" s="230">
        <v>44785</v>
      </c>
      <c r="B729" s="213"/>
      <c r="C729" s="213"/>
      <c r="D729" s="213"/>
      <c r="E729" s="214"/>
      <c r="F729" s="215">
        <v>4231.45</v>
      </c>
      <c r="G729" s="231">
        <v>7.11</v>
      </c>
      <c r="H729" s="214"/>
      <c r="J729" s="41"/>
    </row>
    <row r="730" spans="1:10" hidden="1">
      <c r="A730" s="230">
        <v>44792</v>
      </c>
      <c r="B730" s="213"/>
      <c r="C730" s="213"/>
      <c r="D730" s="213"/>
      <c r="E730" s="214"/>
      <c r="F730" s="215">
        <v>4413.8599999999997</v>
      </c>
      <c r="G730" s="231">
        <v>14.31</v>
      </c>
      <c r="H730" s="214"/>
      <c r="J730" s="41"/>
    </row>
    <row r="731" spans="1:10" hidden="1">
      <c r="A731" s="230">
        <v>44799</v>
      </c>
      <c r="B731" s="213"/>
      <c r="C731" s="213"/>
      <c r="D731" s="213"/>
      <c r="E731" s="214"/>
      <c r="F731" s="215">
        <v>4407.95</v>
      </c>
      <c r="G731" s="231">
        <v>14.05</v>
      </c>
      <c r="H731" s="214"/>
      <c r="J731" s="41"/>
    </row>
    <row r="732" spans="1:10" hidden="1">
      <c r="A732" s="230">
        <v>44806</v>
      </c>
      <c r="B732" s="213"/>
      <c r="C732" s="213"/>
      <c r="D732" s="213"/>
      <c r="E732" s="214"/>
      <c r="F732" s="215">
        <v>4467.03</v>
      </c>
      <c r="G732" s="231">
        <v>19.02</v>
      </c>
      <c r="H732" s="214"/>
      <c r="J732" s="41"/>
    </row>
    <row r="733" spans="1:10" hidden="1">
      <c r="A733" s="230">
        <v>44813</v>
      </c>
      <c r="B733" s="213"/>
      <c r="C733" s="213"/>
      <c r="D733" s="213"/>
      <c r="E733" s="214"/>
      <c r="F733" s="215">
        <v>4396.6899999999996</v>
      </c>
      <c r="G733" s="231">
        <v>15.21</v>
      </c>
      <c r="H733" s="214"/>
      <c r="J733" s="41"/>
    </row>
    <row r="734" spans="1:10" hidden="1">
      <c r="A734" s="230">
        <v>44820</v>
      </c>
      <c r="B734" s="213"/>
      <c r="C734" s="213"/>
      <c r="D734" s="213"/>
      <c r="E734" s="214"/>
      <c r="F734" s="215">
        <v>4404.6400000000003</v>
      </c>
      <c r="G734" s="231">
        <v>15.14</v>
      </c>
      <c r="H734" s="214"/>
      <c r="J734" s="41"/>
    </row>
    <row r="735" spans="1:10" hidden="1">
      <c r="A735" s="230">
        <v>44827</v>
      </c>
      <c r="B735" s="213"/>
      <c r="C735" s="213"/>
      <c r="D735" s="213"/>
      <c r="E735" s="214"/>
      <c r="F735" s="215">
        <v>4379.8</v>
      </c>
      <c r="G735" s="231">
        <v>14.22</v>
      </c>
      <c r="H735" s="214"/>
      <c r="J735" s="41"/>
    </row>
    <row r="736" spans="1:10" hidden="1">
      <c r="A736" s="230">
        <v>44834</v>
      </c>
      <c r="B736" s="213"/>
      <c r="C736" s="213"/>
      <c r="D736" s="213"/>
      <c r="E736" s="214"/>
      <c r="F736" s="215">
        <v>4532.07</v>
      </c>
      <c r="G736" s="231">
        <v>18.190000000000001</v>
      </c>
      <c r="H736" s="214"/>
      <c r="J736" s="41"/>
    </row>
    <row r="737" spans="1:10" hidden="1">
      <c r="A737" s="230">
        <v>44841</v>
      </c>
      <c r="B737" s="213"/>
      <c r="C737" s="213"/>
      <c r="D737" s="213"/>
      <c r="E737" s="214"/>
      <c r="F737" s="215">
        <v>4627.6099999999997</v>
      </c>
      <c r="G737" s="231">
        <v>22.16</v>
      </c>
      <c r="H737" s="214"/>
      <c r="J737" s="41"/>
    </row>
    <row r="738" spans="1:10" hidden="1">
      <c r="A738" s="230">
        <v>44848</v>
      </c>
      <c r="B738" s="213"/>
      <c r="C738" s="213"/>
      <c r="D738" s="213"/>
      <c r="E738" s="214"/>
      <c r="F738" s="215">
        <v>4619.78</v>
      </c>
      <c r="G738" s="231">
        <v>23.995973964973484</v>
      </c>
      <c r="H738" s="214"/>
      <c r="J738" s="41"/>
    </row>
    <row r="739" spans="1:10" hidden="1">
      <c r="A739" s="230">
        <v>44855</v>
      </c>
      <c r="B739" s="213"/>
      <c r="C739" s="213"/>
      <c r="D739" s="213"/>
      <c r="E739" s="214"/>
      <c r="F739" s="215">
        <v>4885.5</v>
      </c>
      <c r="G739" s="231">
        <v>29.57</v>
      </c>
      <c r="H739" s="214"/>
      <c r="J739" s="41"/>
    </row>
    <row r="740" spans="1:10" hidden="1">
      <c r="A740" s="230">
        <v>44862</v>
      </c>
      <c r="B740" s="213"/>
      <c r="C740" s="213"/>
      <c r="D740" s="213"/>
      <c r="E740" s="214"/>
      <c r="F740" s="215">
        <v>4821.92</v>
      </c>
      <c r="G740" s="231">
        <v>28.2</v>
      </c>
      <c r="H740" s="214"/>
      <c r="J740" s="41"/>
    </row>
    <row r="741" spans="1:10" hidden="1">
      <c r="A741" s="230">
        <v>44869</v>
      </c>
      <c r="B741" s="213"/>
      <c r="C741" s="213"/>
      <c r="D741" s="213"/>
      <c r="E741" s="214"/>
      <c r="F741" s="215">
        <v>5058.0200000000004</v>
      </c>
      <c r="G741" s="231">
        <v>31.79</v>
      </c>
      <c r="H741" s="214"/>
      <c r="J741" s="41"/>
    </row>
    <row r="742" spans="1:10" hidden="1">
      <c r="A742" s="230">
        <v>44876</v>
      </c>
      <c r="B742" s="213"/>
      <c r="C742" s="213"/>
      <c r="D742" s="213"/>
      <c r="E742" s="214"/>
      <c r="F742" s="215">
        <v>4806.07</v>
      </c>
      <c r="G742" s="231">
        <v>24.02</v>
      </c>
      <c r="H742" s="214"/>
      <c r="J742" s="41"/>
    </row>
    <row r="743" spans="1:10" hidden="1">
      <c r="A743" s="230">
        <v>44883</v>
      </c>
      <c r="B743" s="213"/>
      <c r="C743" s="213"/>
      <c r="D743" s="213"/>
      <c r="E743" s="214"/>
      <c r="F743" s="215">
        <v>5022.03</v>
      </c>
      <c r="G743" s="231">
        <v>28.51</v>
      </c>
      <c r="H743" s="214"/>
      <c r="J743" s="41"/>
    </row>
    <row r="744" spans="1:10" hidden="1">
      <c r="A744" s="230">
        <v>44890</v>
      </c>
      <c r="B744" s="213"/>
      <c r="C744" s="213"/>
      <c r="D744" s="213"/>
      <c r="E744" s="214"/>
      <c r="F744" s="215">
        <v>4875.91</v>
      </c>
      <c r="G744" s="231">
        <v>22.83</v>
      </c>
      <c r="H744" s="214"/>
      <c r="J744" s="41"/>
    </row>
    <row r="745" spans="1:10" hidden="1">
      <c r="A745" s="230">
        <v>44897</v>
      </c>
      <c r="B745" s="213"/>
      <c r="C745" s="213"/>
      <c r="D745" s="213"/>
      <c r="E745" s="214"/>
      <c r="F745" s="215">
        <v>4779.0600000000004</v>
      </c>
      <c r="G745" s="231">
        <v>20.89</v>
      </c>
      <c r="H745" s="214"/>
      <c r="J745" s="41"/>
    </row>
    <row r="746" spans="1:10" hidden="1">
      <c r="A746" s="230">
        <v>44904</v>
      </c>
      <c r="B746" s="213"/>
      <c r="C746" s="213"/>
      <c r="D746" s="213"/>
      <c r="E746" s="214"/>
      <c r="F746" s="215">
        <v>4825.83</v>
      </c>
      <c r="G746" s="231">
        <v>23.55</v>
      </c>
      <c r="H746" s="214"/>
      <c r="J746" s="41"/>
    </row>
    <row r="747" spans="1:10" hidden="1">
      <c r="A747" s="230">
        <v>44911</v>
      </c>
      <c r="B747" s="213"/>
      <c r="C747" s="213"/>
      <c r="D747" s="213"/>
      <c r="E747" s="214"/>
      <c r="F747" s="215">
        <v>4797.0200000000004</v>
      </c>
      <c r="G747" s="231">
        <v>20.22</v>
      </c>
      <c r="H747" s="214"/>
      <c r="J747" s="41"/>
    </row>
    <row r="748" spans="1:10" hidden="1">
      <c r="A748" s="230">
        <v>44918</v>
      </c>
      <c r="B748" s="213"/>
      <c r="C748" s="213"/>
      <c r="D748" s="213"/>
      <c r="E748" s="214"/>
      <c r="F748" s="215">
        <v>4760.6099999999997</v>
      </c>
      <c r="G748" s="231">
        <v>19.079999999999998</v>
      </c>
      <c r="H748" s="214"/>
      <c r="J748" s="41"/>
    </row>
    <row r="749" spans="1:10" hidden="1">
      <c r="A749" s="230">
        <v>44925</v>
      </c>
      <c r="B749" s="213"/>
      <c r="C749" s="213"/>
      <c r="D749" s="213"/>
      <c r="E749" s="214"/>
      <c r="F749" s="215">
        <v>4810.2</v>
      </c>
      <c r="G749" s="231">
        <v>19.547280101797359</v>
      </c>
      <c r="H749" s="214"/>
      <c r="J749" s="41"/>
    </row>
    <row r="750" spans="1:10" hidden="1">
      <c r="A750" s="230">
        <v>44932</v>
      </c>
      <c r="B750" s="213"/>
      <c r="C750" s="213"/>
      <c r="D750" s="213"/>
      <c r="E750" s="214"/>
      <c r="F750" s="215">
        <v>4989.58</v>
      </c>
      <c r="G750" s="231">
        <v>23.432351398687889</v>
      </c>
      <c r="H750" s="214"/>
      <c r="J750" s="41"/>
    </row>
    <row r="751" spans="1:10" hidden="1">
      <c r="A751" s="230">
        <v>44939</v>
      </c>
      <c r="B751" s="213"/>
      <c r="C751" s="213"/>
      <c r="D751" s="213"/>
      <c r="E751" s="214"/>
      <c r="F751" s="215">
        <v>4692.04</v>
      </c>
      <c r="G751" s="231">
        <v>18.185023979365656</v>
      </c>
      <c r="H751" s="214"/>
      <c r="J751" s="41"/>
    </row>
    <row r="752" spans="1:10" hidden="1">
      <c r="A752" s="230">
        <v>44946</v>
      </c>
      <c r="B752" s="213"/>
      <c r="C752" s="213"/>
      <c r="D752" s="213"/>
      <c r="E752" s="214"/>
      <c r="F752" s="215">
        <v>4683.8500000000004</v>
      </c>
      <c r="G752" s="231">
        <v>16.980731527616499</v>
      </c>
      <c r="H752" s="214"/>
      <c r="J752" s="41"/>
    </row>
    <row r="753" spans="1:10" hidden="1">
      <c r="A753" s="230">
        <v>44953</v>
      </c>
      <c r="B753" s="213"/>
      <c r="C753" s="213"/>
      <c r="D753" s="213"/>
      <c r="E753" s="214"/>
      <c r="F753" s="215">
        <v>4531.75</v>
      </c>
      <c r="G753" s="231">
        <v>14.79</v>
      </c>
      <c r="H753" s="214"/>
      <c r="J753" s="41"/>
    </row>
    <row r="754" spans="1:10" hidden="1">
      <c r="A754" s="230">
        <v>44960</v>
      </c>
      <c r="B754" s="213"/>
      <c r="C754" s="213"/>
      <c r="D754" s="213"/>
      <c r="E754" s="214"/>
      <c r="F754" s="215">
        <v>4584.4399999999996</v>
      </c>
      <c r="G754" s="231">
        <v>16.71</v>
      </c>
      <c r="H754" s="214"/>
      <c r="J754" s="41"/>
    </row>
    <row r="755" spans="1:10" hidden="1">
      <c r="A755" s="230">
        <v>44967</v>
      </c>
      <c r="B755" s="213"/>
      <c r="C755" s="213"/>
      <c r="D755" s="213"/>
      <c r="E755" s="214"/>
      <c r="F755" s="215">
        <v>4742.05</v>
      </c>
      <c r="G755" s="231">
        <v>20.38</v>
      </c>
      <c r="H755" s="214"/>
      <c r="J755" s="41"/>
    </row>
    <row r="756" spans="1:10" hidden="1">
      <c r="A756" s="230">
        <v>44974</v>
      </c>
      <c r="B756" s="213"/>
      <c r="C756" s="213"/>
      <c r="D756" s="213"/>
      <c r="E756" s="214"/>
      <c r="F756" s="215">
        <v>4966.33</v>
      </c>
      <c r="G756" s="231">
        <v>25.29</v>
      </c>
      <c r="H756" s="214"/>
      <c r="J756" s="41"/>
    </row>
    <row r="757" spans="1:10" hidden="1">
      <c r="A757" s="230">
        <v>44981</v>
      </c>
      <c r="B757" s="213"/>
      <c r="C757" s="213"/>
      <c r="D757" s="213"/>
      <c r="E757" s="214"/>
      <c r="F757" s="215">
        <v>4853.8999999999996</v>
      </c>
      <c r="G757" s="231">
        <v>24.02</v>
      </c>
      <c r="H757" s="214"/>
      <c r="J757" s="41"/>
    </row>
    <row r="758" spans="1:10" hidden="1">
      <c r="A758" s="230">
        <v>44988</v>
      </c>
      <c r="B758" s="213"/>
      <c r="C758" s="213"/>
      <c r="D758" s="213"/>
      <c r="E758" s="214"/>
      <c r="F758" s="215">
        <v>4855.83</v>
      </c>
      <c r="G758" s="231">
        <v>25.7</v>
      </c>
      <c r="H758" s="214"/>
      <c r="J758" s="41"/>
    </row>
    <row r="759" spans="1:10" hidden="1">
      <c r="A759" s="230">
        <v>44995</v>
      </c>
      <c r="B759" s="213"/>
      <c r="C759" s="213"/>
      <c r="D759" s="213"/>
      <c r="E759" s="214"/>
      <c r="F759" s="215">
        <v>4748.6099999999997</v>
      </c>
      <c r="G759" s="231">
        <v>26.75</v>
      </c>
      <c r="H759" s="214"/>
      <c r="J759" s="41"/>
    </row>
    <row r="760" spans="1:10" hidden="1">
      <c r="A760" s="230">
        <v>45002</v>
      </c>
      <c r="B760" s="213"/>
      <c r="C760" s="213"/>
      <c r="D760" s="213"/>
      <c r="E760" s="214"/>
      <c r="F760" s="215">
        <v>4866.5</v>
      </c>
      <c r="G760" s="231">
        <v>27.17</v>
      </c>
      <c r="H760" s="214"/>
      <c r="J760" s="41"/>
    </row>
    <row r="761" spans="1:10" hidden="1">
      <c r="A761" s="230">
        <v>45009</v>
      </c>
      <c r="B761" s="213"/>
      <c r="C761" s="213"/>
      <c r="D761" s="213"/>
      <c r="E761" s="214"/>
      <c r="F761" s="215">
        <v>4755.12</v>
      </c>
      <c r="G761" s="231">
        <v>26.58</v>
      </c>
      <c r="H761" s="214"/>
      <c r="J761" s="41"/>
    </row>
    <row r="762" spans="1:10" hidden="1">
      <c r="A762" s="230">
        <v>45016</v>
      </c>
      <c r="B762" s="213"/>
      <c r="C762" s="213"/>
      <c r="D762" s="213"/>
      <c r="E762" s="214"/>
      <c r="F762" s="215">
        <v>4627.2700000000004</v>
      </c>
      <c r="G762" s="231">
        <v>23.45</v>
      </c>
      <c r="H762" s="214"/>
      <c r="J762" s="41"/>
    </row>
    <row r="763" spans="1:10" hidden="1">
      <c r="A763" s="230">
        <v>45023</v>
      </c>
      <c r="B763" s="213"/>
      <c r="C763" s="213"/>
      <c r="D763" s="213"/>
      <c r="E763" s="214"/>
      <c r="F763" s="215">
        <v>4570.91</v>
      </c>
      <c r="G763" s="231">
        <v>22</v>
      </c>
      <c r="H763" s="214"/>
      <c r="J763" s="41"/>
    </row>
    <row r="764" spans="1:10" hidden="1">
      <c r="A764" s="230">
        <v>45030</v>
      </c>
      <c r="B764" s="213"/>
      <c r="C764" s="213"/>
      <c r="D764" s="213"/>
      <c r="E764" s="214"/>
      <c r="F764" s="215">
        <v>4424.0200000000004</v>
      </c>
      <c r="G764" s="231">
        <v>18.37</v>
      </c>
      <c r="H764" s="214"/>
      <c r="J764" s="41"/>
    </row>
    <row r="765" spans="1:10" hidden="1">
      <c r="A765" s="230">
        <v>45037</v>
      </c>
      <c r="B765" s="213"/>
      <c r="C765" s="213"/>
      <c r="D765" s="213"/>
      <c r="E765" s="214"/>
      <c r="F765" s="215">
        <v>4535.78</v>
      </c>
      <c r="G765" s="231">
        <v>20.68</v>
      </c>
      <c r="H765" s="214"/>
      <c r="J765" s="41"/>
    </row>
    <row r="766" spans="1:10" hidden="1">
      <c r="A766" s="230">
        <v>45044</v>
      </c>
      <c r="B766" s="213"/>
      <c r="C766" s="213"/>
      <c r="D766" s="213"/>
      <c r="E766" s="214"/>
      <c r="F766" s="215">
        <v>4654.1400000000003</v>
      </c>
      <c r="G766" s="231">
        <v>17.309999999999999</v>
      </c>
      <c r="H766" s="214"/>
      <c r="J766" s="41"/>
    </row>
    <row r="767" spans="1:10" hidden="1">
      <c r="A767" s="230">
        <v>45051</v>
      </c>
      <c r="B767" s="213"/>
      <c r="C767" s="213"/>
      <c r="D767" s="213"/>
      <c r="E767" s="214"/>
      <c r="F767" s="215">
        <v>4616.58</v>
      </c>
      <c r="G767" s="231">
        <v>13.81</v>
      </c>
      <c r="H767" s="214"/>
      <c r="J767" s="41"/>
    </row>
    <row r="768" spans="1:10" hidden="1">
      <c r="A768" s="230">
        <v>45058</v>
      </c>
      <c r="B768" s="213"/>
      <c r="C768" s="213"/>
      <c r="D768" s="213"/>
      <c r="E768" s="214"/>
      <c r="F768" s="215">
        <v>4601.1499999999996</v>
      </c>
      <c r="G768" s="231">
        <v>12.76</v>
      </c>
      <c r="H768" s="214"/>
      <c r="J768" s="41"/>
    </row>
    <row r="769" spans="1:17" hidden="1">
      <c r="A769" s="230">
        <v>45065</v>
      </c>
      <c r="B769" s="213"/>
      <c r="C769" s="213"/>
      <c r="D769" s="213"/>
      <c r="E769" s="214"/>
      <c r="F769" s="215">
        <v>4521.6400000000003</v>
      </c>
      <c r="G769" s="231">
        <v>11.52</v>
      </c>
      <c r="H769" s="214"/>
      <c r="J769" s="41"/>
    </row>
    <row r="770" spans="1:17" hidden="1">
      <c r="A770" s="230">
        <v>45072</v>
      </c>
      <c r="B770" s="213"/>
      <c r="C770" s="213"/>
      <c r="D770" s="213"/>
      <c r="E770" s="214"/>
      <c r="F770" s="215">
        <v>4470.83</v>
      </c>
      <c r="G770" s="231">
        <v>12.93</v>
      </c>
      <c r="H770" s="214"/>
      <c r="J770" s="41"/>
    </row>
    <row r="771" spans="1:17" hidden="1">
      <c r="A771" s="230">
        <v>45079</v>
      </c>
      <c r="B771" s="213"/>
      <c r="C771" s="213"/>
      <c r="D771" s="213"/>
      <c r="E771" s="214"/>
      <c r="F771" s="215">
        <v>4410.49</v>
      </c>
      <c r="G771" s="231">
        <v>16.32</v>
      </c>
      <c r="H771" s="214"/>
      <c r="J771" s="41"/>
    </row>
    <row r="772" spans="1:17" hidden="1">
      <c r="A772" s="230">
        <v>45086</v>
      </c>
      <c r="B772" s="213"/>
      <c r="C772" s="213"/>
      <c r="D772" s="213"/>
      <c r="E772" s="214"/>
      <c r="F772" s="215">
        <v>4179.9799999999996</v>
      </c>
      <c r="G772" s="231">
        <v>10.5</v>
      </c>
      <c r="H772" s="214"/>
      <c r="J772" s="41"/>
    </row>
    <row r="773" spans="1:17" hidden="1">
      <c r="A773" s="230">
        <v>45093</v>
      </c>
      <c r="B773" s="213"/>
      <c r="C773" s="213"/>
      <c r="D773" s="213"/>
      <c r="E773" s="214"/>
      <c r="F773" s="215">
        <v>4164.66</v>
      </c>
      <c r="G773" s="231">
        <v>6.13</v>
      </c>
      <c r="H773" s="214"/>
      <c r="J773" s="41"/>
    </row>
    <row r="774" spans="1:17" hidden="1">
      <c r="A774" s="230">
        <v>45100</v>
      </c>
      <c r="B774" s="213"/>
      <c r="C774" s="213"/>
      <c r="D774" s="213"/>
      <c r="E774" s="214"/>
      <c r="F774" s="215">
        <v>4114.3900000000003</v>
      </c>
      <c r="G774" s="231">
        <v>2.182281473828529</v>
      </c>
      <c r="H774" s="214"/>
      <c r="J774" s="41"/>
    </row>
    <row r="775" spans="1:17" hidden="1">
      <c r="A775" s="230">
        <v>45107</v>
      </c>
      <c r="B775" s="213"/>
      <c r="C775" s="213"/>
      <c r="D775" s="213"/>
      <c r="E775" s="214"/>
      <c r="F775" s="215">
        <v>4191.28</v>
      </c>
      <c r="G775" s="231">
        <v>1.55</v>
      </c>
      <c r="H775" s="214"/>
      <c r="J775" s="41"/>
    </row>
    <row r="776" spans="1:17" hidden="1">
      <c r="A776" s="230">
        <v>45114</v>
      </c>
      <c r="B776" s="213"/>
      <c r="C776" s="213"/>
      <c r="D776" s="213"/>
      <c r="E776" s="214"/>
      <c r="F776" s="215">
        <v>4195.93</v>
      </c>
      <c r="G776" s="231">
        <v>-3.51</v>
      </c>
      <c r="H776" s="214"/>
      <c r="J776" s="41"/>
    </row>
    <row r="777" spans="1:17" hidden="1">
      <c r="A777" s="230">
        <v>45121</v>
      </c>
      <c r="B777" s="213"/>
      <c r="C777" s="213"/>
      <c r="D777" s="213"/>
      <c r="E777" s="214"/>
      <c r="F777" s="215">
        <v>4102.13</v>
      </c>
      <c r="G777" s="231">
        <v>-10</v>
      </c>
      <c r="H777" s="214"/>
      <c r="J777" s="41"/>
    </row>
    <row r="778" spans="1:17" hidden="1">
      <c r="A778" s="230">
        <v>45128</v>
      </c>
      <c r="B778" s="213"/>
      <c r="C778" s="213"/>
      <c r="D778" s="213"/>
      <c r="E778" s="214"/>
      <c r="F778" s="215">
        <v>3980.2</v>
      </c>
      <c r="G778" s="231">
        <v>-7.51</v>
      </c>
      <c r="H778" s="214"/>
      <c r="J778" s="41"/>
    </row>
    <row r="779" spans="1:17" hidden="1">
      <c r="A779" s="230">
        <v>45135</v>
      </c>
      <c r="B779" s="213"/>
      <c r="C779" s="213"/>
      <c r="D779" s="213"/>
      <c r="E779" s="214"/>
      <c r="F779" s="215">
        <v>3932.04</v>
      </c>
      <c r="G779" s="231">
        <v>-11.05</v>
      </c>
      <c r="H779" s="214"/>
      <c r="J779" s="41"/>
    </row>
    <row r="780" spans="1:17" hidden="1">
      <c r="A780" s="230">
        <v>45142</v>
      </c>
      <c r="B780" s="213"/>
      <c r="C780" s="213"/>
      <c r="D780" s="213"/>
      <c r="E780" s="214"/>
      <c r="F780" s="215">
        <v>4144.79</v>
      </c>
      <c r="G780" s="231">
        <v>-4.3</v>
      </c>
      <c r="H780" s="214"/>
      <c r="J780" s="41"/>
    </row>
    <row r="781" spans="1:17" hidden="1">
      <c r="A781" s="230">
        <v>45149</v>
      </c>
      <c r="B781" s="213"/>
      <c r="C781" s="213"/>
      <c r="D781" s="213"/>
      <c r="E781" s="214"/>
      <c r="F781" s="215">
        <v>3955.23</v>
      </c>
      <c r="G781" s="231">
        <v>-7.45</v>
      </c>
      <c r="H781" s="214"/>
      <c r="J781" s="41"/>
    </row>
    <row r="782" spans="1:17" hidden="1">
      <c r="A782" s="230">
        <v>45156</v>
      </c>
      <c r="B782" s="213"/>
      <c r="C782" s="213"/>
      <c r="D782" s="213"/>
      <c r="E782" s="214"/>
      <c r="F782" s="215">
        <v>4093.96</v>
      </c>
      <c r="G782" s="231">
        <v>-5.15</v>
      </c>
      <c r="H782" s="214"/>
      <c r="J782" s="41"/>
    </row>
    <row r="783" spans="1:17" hidden="1">
      <c r="A783" s="230">
        <v>45163</v>
      </c>
      <c r="B783" s="213"/>
      <c r="C783" s="213"/>
      <c r="D783" s="213"/>
      <c r="E783" s="214"/>
      <c r="F783" s="215">
        <v>4076.9</v>
      </c>
      <c r="G783" s="231">
        <v>-6.92</v>
      </c>
      <c r="H783" s="214"/>
      <c r="J783" s="41"/>
      <c r="P783" s="206">
        <v>4076.9</v>
      </c>
      <c r="Q783" s="206">
        <v>-6.92</v>
      </c>
    </row>
    <row r="784" spans="1:17" hidden="1">
      <c r="A784" s="230">
        <v>45170</v>
      </c>
      <c r="B784" s="213"/>
      <c r="C784" s="213"/>
      <c r="D784" s="213"/>
      <c r="E784" s="214"/>
      <c r="F784" s="215">
        <v>4099.2</v>
      </c>
      <c r="G784" s="231">
        <v>-7.32</v>
      </c>
      <c r="H784" s="214"/>
      <c r="J784" s="41"/>
      <c r="P784" s="206">
        <v>4099.2</v>
      </c>
      <c r="Q784" s="206">
        <v>-7.32</v>
      </c>
    </row>
    <row r="785" spans="1:10" hidden="1">
      <c r="A785" s="230">
        <v>45177</v>
      </c>
      <c r="B785" s="213"/>
      <c r="C785" s="213"/>
      <c r="D785" s="213"/>
      <c r="E785" s="214"/>
      <c r="F785" s="215">
        <v>4045.83</v>
      </c>
      <c r="G785" s="231">
        <v>-9.01</v>
      </c>
      <c r="H785" s="214"/>
      <c r="J785" s="41"/>
    </row>
    <row r="786" spans="1:10" hidden="1">
      <c r="A786" s="230">
        <v>45184</v>
      </c>
      <c r="B786" s="213"/>
      <c r="C786" s="213"/>
      <c r="D786" s="213"/>
      <c r="E786" s="214"/>
      <c r="F786" s="215">
        <v>3926.59</v>
      </c>
      <c r="G786" s="231">
        <v>-10.55</v>
      </c>
      <c r="H786" s="214"/>
      <c r="J786" s="41"/>
    </row>
    <row r="787" spans="1:10" hidden="1">
      <c r="A787" s="230">
        <v>45191</v>
      </c>
      <c r="B787" s="213"/>
      <c r="C787" s="213"/>
      <c r="D787" s="213"/>
      <c r="E787" s="214"/>
      <c r="F787" s="215">
        <v>3948.25</v>
      </c>
      <c r="G787" s="231">
        <v>-10.34</v>
      </c>
      <c r="H787" s="214"/>
      <c r="J787" s="41"/>
    </row>
    <row r="788" spans="1:10" hidden="1">
      <c r="A788" s="230">
        <v>45198</v>
      </c>
      <c r="B788" s="213"/>
      <c r="C788" s="213"/>
      <c r="D788" s="213"/>
      <c r="E788" s="214"/>
      <c r="F788" s="215">
        <v>4085.57</v>
      </c>
      <c r="G788" s="231">
        <v>-8.9452945660071119</v>
      </c>
      <c r="H788" s="214"/>
      <c r="J788" s="41"/>
    </row>
    <row r="789" spans="1:10" hidden="1">
      <c r="A789" s="230">
        <v>45205</v>
      </c>
      <c r="B789" s="213"/>
      <c r="C789" s="213"/>
      <c r="D789" s="213"/>
      <c r="E789" s="214"/>
      <c r="F789" s="215">
        <v>4359.3999999999996</v>
      </c>
      <c r="G789" s="231">
        <v>-4.17</v>
      </c>
      <c r="H789" s="214"/>
      <c r="J789" s="41"/>
    </row>
    <row r="790" spans="1:10" hidden="1">
      <c r="A790" s="230">
        <v>45212</v>
      </c>
      <c r="B790" s="213"/>
      <c r="C790" s="213"/>
      <c r="D790" s="213"/>
      <c r="E790" s="214"/>
      <c r="F790" s="215">
        <v>4230.6099999999997</v>
      </c>
      <c r="G790" s="231">
        <v>-8.25</v>
      </c>
      <c r="H790" s="214"/>
      <c r="J790" s="41"/>
    </row>
    <row r="791" spans="1:10" hidden="1">
      <c r="A791" s="230">
        <v>45219</v>
      </c>
      <c r="B791" s="213"/>
      <c r="C791" s="213"/>
      <c r="D791" s="213"/>
      <c r="E791" s="214"/>
      <c r="F791" s="215">
        <v>4249.71</v>
      </c>
      <c r="G791" s="231">
        <v>-11.742000000000001</v>
      </c>
      <c r="H791" s="214"/>
      <c r="J791" s="41"/>
    </row>
    <row r="792" spans="1:10" hidden="1">
      <c r="A792" s="230">
        <v>45226</v>
      </c>
      <c r="B792" s="213"/>
      <c r="C792" s="213"/>
      <c r="D792" s="213"/>
      <c r="E792" s="214"/>
      <c r="F792" s="215">
        <v>4154.9399999999996</v>
      </c>
      <c r="G792" s="231">
        <v>-15.123720964437249</v>
      </c>
      <c r="H792" s="214"/>
      <c r="J792" s="41"/>
    </row>
    <row r="793" spans="1:10" hidden="1">
      <c r="A793" s="230">
        <v>45233</v>
      </c>
      <c r="B793" s="213"/>
      <c r="C793" s="213"/>
      <c r="D793" s="213"/>
      <c r="E793" s="214"/>
      <c r="F793" s="215">
        <v>4047.11</v>
      </c>
      <c r="G793" s="231">
        <v>-19.309999999999999</v>
      </c>
      <c r="H793" s="214"/>
      <c r="J793" s="41"/>
    </row>
    <row r="794" spans="1:10">
      <c r="A794" s="230">
        <v>45240</v>
      </c>
      <c r="B794" s="213"/>
      <c r="C794" s="213"/>
      <c r="D794" s="213"/>
      <c r="E794" s="214"/>
      <c r="F794" s="215">
        <v>4056.94</v>
      </c>
      <c r="G794" s="231">
        <v>-17.45</v>
      </c>
      <c r="H794" s="214"/>
      <c r="J794" s="41"/>
    </row>
    <row r="795" spans="1:10">
      <c r="A795" s="230">
        <v>45247</v>
      </c>
      <c r="B795" s="213"/>
      <c r="C795" s="213"/>
      <c r="D795" s="213"/>
      <c r="E795" s="214"/>
      <c r="F795" s="215">
        <v>4077.44</v>
      </c>
      <c r="G795" s="231">
        <v>-17.170658378532099</v>
      </c>
      <c r="H795" s="214"/>
      <c r="J795" s="41"/>
    </row>
    <row r="796" spans="1:10">
      <c r="A796" s="230">
        <v>45254</v>
      </c>
      <c r="B796" s="213"/>
      <c r="C796" s="213"/>
      <c r="D796" s="213"/>
      <c r="E796" s="214"/>
      <c r="F796" s="215">
        <v>4092.33</v>
      </c>
      <c r="G796" s="231">
        <v>-16.07</v>
      </c>
      <c r="H796" s="214"/>
      <c r="J796" s="41"/>
    </row>
    <row r="797" spans="1:10">
      <c r="A797" s="230">
        <v>45261</v>
      </c>
      <c r="B797" s="213"/>
      <c r="C797" s="213"/>
      <c r="D797" s="213"/>
      <c r="E797" s="214"/>
      <c r="F797" s="215">
        <v>4045.22</v>
      </c>
      <c r="G797" s="231">
        <v>-15.997416723599811</v>
      </c>
      <c r="H797" s="214"/>
      <c r="J797" s="41"/>
    </row>
    <row r="798" spans="1:10">
      <c r="A798" s="230">
        <v>45268</v>
      </c>
      <c r="B798" s="213"/>
      <c r="C798" s="213"/>
      <c r="D798" s="213"/>
      <c r="E798" s="214"/>
      <c r="F798" s="215">
        <v>3998.51</v>
      </c>
      <c r="G798" s="231">
        <v>-17.143579446437187</v>
      </c>
      <c r="H798" s="214"/>
      <c r="J798" s="41"/>
    </row>
    <row r="799" spans="1:10" ht="14.25" customHeight="1">
      <c r="A799" s="235"/>
      <c r="B799" s="236"/>
      <c r="C799" s="236"/>
      <c r="D799" s="236"/>
      <c r="E799" s="237"/>
      <c r="F799" s="238"/>
      <c r="G799" s="236"/>
      <c r="H799" s="237"/>
    </row>
    <row r="800" spans="1:10">
      <c r="A800" s="239" t="s">
        <v>3349</v>
      </c>
      <c r="B800" s="239"/>
      <c r="C800" s="239"/>
      <c r="D800" s="239"/>
      <c r="E800" s="239"/>
      <c r="F800" s="239"/>
      <c r="G800" s="239"/>
      <c r="H800" s="239"/>
    </row>
    <row r="801" spans="1:18" ht="27.75" customHeight="1">
      <c r="A801" s="897" t="s">
        <v>3350</v>
      </c>
      <c r="B801" s="897"/>
      <c r="C801" s="897"/>
      <c r="D801" s="897"/>
      <c r="E801" s="897"/>
      <c r="F801" s="897"/>
      <c r="G801" s="897"/>
      <c r="H801" s="897"/>
      <c r="K801" s="900"/>
      <c r="L801" s="900"/>
      <c r="M801" s="900"/>
      <c r="N801" s="900"/>
      <c r="O801" s="900"/>
      <c r="P801" s="900"/>
      <c r="Q801" s="900"/>
      <c r="R801" s="900"/>
    </row>
    <row r="802" spans="1:18" ht="27.75" customHeight="1">
      <c r="A802" s="897" t="s">
        <v>3351</v>
      </c>
      <c r="B802" s="897"/>
      <c r="C802" s="897"/>
      <c r="D802" s="897"/>
      <c r="E802" s="897"/>
      <c r="F802" s="897"/>
      <c r="G802" s="897"/>
      <c r="H802" s="897"/>
    </row>
    <row r="803" spans="1:18" ht="51" customHeight="1">
      <c r="A803" s="901" t="s">
        <v>3352</v>
      </c>
      <c r="B803" s="901"/>
      <c r="C803" s="901"/>
      <c r="D803" s="901"/>
      <c r="E803" s="901"/>
      <c r="F803" s="901"/>
      <c r="G803" s="901"/>
      <c r="H803" s="901"/>
    </row>
    <row r="804" spans="1:18" ht="51" customHeight="1">
      <c r="A804" s="902" t="s">
        <v>3353</v>
      </c>
      <c r="B804" s="902"/>
      <c r="C804" s="902"/>
      <c r="D804" s="902"/>
      <c r="E804" s="902"/>
      <c r="F804" s="902"/>
      <c r="G804" s="902"/>
      <c r="H804" s="902"/>
    </row>
    <row r="805" spans="1:18" ht="30.75" customHeight="1">
      <c r="A805" s="897" t="s">
        <v>3354</v>
      </c>
      <c r="B805" s="897"/>
      <c r="C805" s="897"/>
      <c r="D805" s="897"/>
      <c r="E805" s="897"/>
      <c r="F805" s="897"/>
      <c r="G805" s="897"/>
      <c r="H805" s="897"/>
    </row>
    <row r="806" spans="1:18">
      <c r="A806" s="897" t="s">
        <v>3355</v>
      </c>
      <c r="B806" s="897"/>
      <c r="C806" s="897"/>
      <c r="D806" s="897"/>
      <c r="E806" s="897"/>
      <c r="F806" s="897"/>
      <c r="G806" s="897"/>
      <c r="H806" s="897"/>
    </row>
    <row r="807" spans="1:18">
      <c r="A807" s="240" t="s">
        <v>3356</v>
      </c>
      <c r="K807" s="241"/>
    </row>
    <row r="808" spans="1:18">
      <c r="A808" s="240" t="s">
        <v>3357</v>
      </c>
      <c r="K808" s="241"/>
    </row>
    <row r="809" spans="1:18">
      <c r="A809" s="240" t="s">
        <v>2802</v>
      </c>
    </row>
    <row r="810" spans="1:18">
      <c r="A810" s="242"/>
    </row>
    <row r="811" spans="1:18">
      <c r="A811" s="243" t="s">
        <v>3358</v>
      </c>
    </row>
  </sheetData>
  <mergeCells count="9">
    <mergeCell ref="A806:H806"/>
    <mergeCell ref="B3:E3"/>
    <mergeCell ref="F3:H3"/>
    <mergeCell ref="A801:H801"/>
    <mergeCell ref="K801:R801"/>
    <mergeCell ref="A802:H802"/>
    <mergeCell ref="A803:H803"/>
    <mergeCell ref="A804:H804"/>
    <mergeCell ref="A805:H805"/>
  </mergeCells>
  <hyperlinks>
    <hyperlink ref="A807" r:id="rId1" xr:uid="{F2D5CC25-87B6-4680-875D-033448C061C4}"/>
    <hyperlink ref="A809" r:id="rId2" xr:uid="{DDFD3B55-0894-4A08-B94C-3AD563E59CCD}"/>
    <hyperlink ref="A811" r:id="rId3" xr:uid="{FCD8EBA4-838C-4329-B2E0-A54AFFB245EE}"/>
  </hyperlinks>
  <printOptions horizontalCentered="1"/>
  <pageMargins left="0.70866141732283472" right="0.70866141732283472" top="0.9055118110236221" bottom="0.43307086614173229" header="0.19685039370078741" footer="0.15748031496062992"/>
  <pageSetup paperSize="9" scale="69" orientation="portrait" r:id="rId4"/>
  <headerFooter>
    <oddHeader>&amp;L&amp;G</oddHeader>
    <oddFooter>&amp;R&amp;P</oddFooter>
  </headerFooter>
  <colBreaks count="1" manualBreakCount="1">
    <brk id="8" max="1048575" man="1"/>
  </colBreaks>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F8C39-7CA6-47B1-8239-FD612BCA9892}">
  <dimension ref="A1:J12"/>
  <sheetViews>
    <sheetView workbookViewId="0">
      <selection activeCell="F7" sqref="F7"/>
    </sheetView>
  </sheetViews>
  <sheetFormatPr baseColWidth="10" defaultColWidth="11.453125" defaultRowHeight="14.5"/>
  <cols>
    <col min="6" max="6" width="18.7265625" bestFit="1" customWidth="1"/>
    <col min="7" max="7" width="61.26953125" bestFit="1" customWidth="1"/>
    <col min="10" max="10" width="42.7265625" bestFit="1" customWidth="1"/>
  </cols>
  <sheetData>
    <row r="1" spans="1:10">
      <c r="A1" s="7" t="s">
        <v>2521</v>
      </c>
      <c r="B1" s="7" t="s">
        <v>2522</v>
      </c>
      <c r="C1" s="7" t="s">
        <v>2523</v>
      </c>
      <c r="D1" s="7" t="s">
        <v>2524</v>
      </c>
      <c r="E1" s="7" t="s">
        <v>2525</v>
      </c>
      <c r="F1" s="7" t="s">
        <v>2526</v>
      </c>
      <c r="G1" s="7" t="s">
        <v>2527</v>
      </c>
      <c r="H1" s="7" t="s">
        <v>2528</v>
      </c>
      <c r="I1" s="7" t="s">
        <v>2529</v>
      </c>
      <c r="J1" s="7" t="s">
        <v>2530</v>
      </c>
    </row>
    <row r="2" spans="1:10">
      <c r="A2" t="s">
        <v>2531</v>
      </c>
      <c r="B2" t="s">
        <v>2532</v>
      </c>
      <c r="C2" t="s">
        <v>2209</v>
      </c>
      <c r="D2" t="s">
        <v>2533</v>
      </c>
      <c r="E2" t="s">
        <v>2534</v>
      </c>
      <c r="F2" t="s">
        <v>2247</v>
      </c>
      <c r="G2" t="s">
        <v>2535</v>
      </c>
      <c r="H2" t="s">
        <v>2230</v>
      </c>
      <c r="I2" t="s">
        <v>2536</v>
      </c>
      <c r="J2" t="s">
        <v>2224</v>
      </c>
    </row>
    <row r="3" spans="1:10">
      <c r="A3" t="s">
        <v>2537</v>
      </c>
      <c r="B3" t="s">
        <v>2207</v>
      </c>
      <c r="C3" t="s">
        <v>2538</v>
      </c>
      <c r="D3" t="s">
        <v>2539</v>
      </c>
      <c r="E3" t="s">
        <v>2540</v>
      </c>
      <c r="F3" t="s">
        <v>2541</v>
      </c>
      <c r="G3" t="s">
        <v>2542</v>
      </c>
      <c r="H3" t="s">
        <v>2226</v>
      </c>
      <c r="I3" t="s">
        <v>2241</v>
      </c>
      <c r="J3" s="42" t="s">
        <v>2543</v>
      </c>
    </row>
    <row r="4" spans="1:10">
      <c r="A4" t="s">
        <v>2205</v>
      </c>
      <c r="C4" t="s">
        <v>2544</v>
      </c>
      <c r="D4" t="s">
        <v>2545</v>
      </c>
      <c r="E4" t="s">
        <v>2214</v>
      </c>
      <c r="F4" t="s">
        <v>2546</v>
      </c>
      <c r="G4" t="s">
        <v>2259</v>
      </c>
      <c r="J4" s="42" t="s">
        <v>2547</v>
      </c>
    </row>
    <row r="5" spans="1:10">
      <c r="A5" t="s">
        <v>2548</v>
      </c>
      <c r="D5" t="s">
        <v>2212</v>
      </c>
      <c r="E5" t="s">
        <v>2549</v>
      </c>
      <c r="F5" t="s">
        <v>2550</v>
      </c>
      <c r="J5" s="42" t="s">
        <v>2551</v>
      </c>
    </row>
    <row r="6" spans="1:10">
      <c r="D6" t="s">
        <v>2552</v>
      </c>
      <c r="F6" t="s">
        <v>2553</v>
      </c>
      <c r="J6" s="42" t="s">
        <v>2554</v>
      </c>
    </row>
    <row r="7" spans="1:10">
      <c r="D7" t="s">
        <v>2555</v>
      </c>
      <c r="F7" t="s">
        <v>2556</v>
      </c>
      <c r="J7" s="42" t="s">
        <v>2557</v>
      </c>
    </row>
    <row r="8" spans="1:10">
      <c r="D8" t="s">
        <v>2536</v>
      </c>
      <c r="J8" s="42" t="s">
        <v>2558</v>
      </c>
    </row>
    <row r="9" spans="1:10">
      <c r="D9" t="s">
        <v>2559</v>
      </c>
      <c r="J9" s="42" t="s">
        <v>2560</v>
      </c>
    </row>
    <row r="10" spans="1:10">
      <c r="D10" t="s">
        <v>2561</v>
      </c>
      <c r="J10" s="42" t="s">
        <v>2562</v>
      </c>
    </row>
    <row r="11" spans="1:10">
      <c r="J11" s="42" t="s">
        <v>2563</v>
      </c>
    </row>
    <row r="12" spans="1:10">
      <c r="J12" s="42" t="s">
        <v>2564</v>
      </c>
    </row>
  </sheetData>
  <phoneticPr fontId="14"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8A6F-A3CD-4D3F-BD2E-E67CB922F405}">
  <dimension ref="A1:I32"/>
  <sheetViews>
    <sheetView showGridLines="0" showRowColHeaders="0" workbookViewId="0">
      <selection sqref="A1:G2"/>
    </sheetView>
  </sheetViews>
  <sheetFormatPr baseColWidth="10" defaultColWidth="11.453125" defaultRowHeight="14.5"/>
  <cols>
    <col min="1" max="1" width="43.26953125" bestFit="1" customWidth="1"/>
    <col min="2" max="2" width="22.81640625" customWidth="1"/>
    <col min="3" max="3" width="87.81640625" bestFit="1" customWidth="1"/>
  </cols>
  <sheetData>
    <row r="1" spans="1:9">
      <c r="A1" s="401" t="s">
        <v>3359</v>
      </c>
      <c r="B1" s="402"/>
      <c r="C1" s="402"/>
      <c r="D1" s="402"/>
      <c r="E1" s="402"/>
      <c r="F1" s="402"/>
      <c r="G1" s="403"/>
      <c r="H1" s="79"/>
      <c r="I1" s="79"/>
    </row>
    <row r="2" spans="1:9" ht="15" thickBot="1">
      <c r="A2" s="404"/>
      <c r="B2" s="405"/>
      <c r="C2" s="405"/>
      <c r="D2" s="405"/>
      <c r="E2" s="405"/>
      <c r="F2" s="405"/>
      <c r="G2" s="406"/>
      <c r="H2" s="79"/>
      <c r="I2" s="79"/>
    </row>
    <row r="3" spans="1:9" ht="15" thickBot="1">
      <c r="A3" s="79"/>
      <c r="B3" s="79"/>
      <c r="C3" s="79"/>
      <c r="D3" s="79"/>
      <c r="E3" s="79"/>
      <c r="F3" s="79"/>
      <c r="G3" s="79"/>
      <c r="H3" s="79"/>
      <c r="I3" s="79"/>
    </row>
    <row r="4" spans="1:9">
      <c r="A4" s="245" t="s">
        <v>3360</v>
      </c>
      <c r="B4" s="246" t="s">
        <v>3361</v>
      </c>
      <c r="C4" s="247" t="s">
        <v>3362</v>
      </c>
      <c r="D4" s="79"/>
      <c r="E4" s="79"/>
      <c r="F4" s="79"/>
      <c r="G4" s="79"/>
      <c r="H4" s="79"/>
      <c r="I4" s="79"/>
    </row>
    <row r="5" spans="1:9">
      <c r="A5" s="83" t="s">
        <v>3363</v>
      </c>
      <c r="B5" s="248">
        <f>'BETAS SECTORES'!F39</f>
        <v>0.54</v>
      </c>
      <c r="C5" s="249" t="s">
        <v>3364</v>
      </c>
      <c r="D5" s="79"/>
      <c r="E5" s="79"/>
      <c r="F5" s="79"/>
      <c r="G5" s="79"/>
      <c r="H5" s="79"/>
      <c r="I5" s="79"/>
    </row>
    <row r="6" spans="1:9">
      <c r="A6" s="83" t="s">
        <v>3365</v>
      </c>
      <c r="B6" s="248">
        <v>60</v>
      </c>
      <c r="C6" s="249" t="s">
        <v>3366</v>
      </c>
      <c r="D6" s="79"/>
      <c r="E6" s="79"/>
      <c r="F6" s="79"/>
      <c r="G6" s="79"/>
      <c r="H6" s="79"/>
      <c r="I6" s="79"/>
    </row>
    <row r="7" spans="1:9">
      <c r="A7" s="83" t="s">
        <v>3367</v>
      </c>
      <c r="B7" s="248">
        <v>40</v>
      </c>
      <c r="C7" s="249" t="s">
        <v>3366</v>
      </c>
      <c r="D7" s="79"/>
      <c r="E7" s="79"/>
      <c r="F7" s="79"/>
      <c r="G7" s="79"/>
      <c r="H7" s="79"/>
      <c r="I7" s="79"/>
    </row>
    <row r="8" spans="1:9">
      <c r="A8" s="83" t="s">
        <v>3368</v>
      </c>
      <c r="B8" s="250">
        <v>0.35</v>
      </c>
      <c r="C8" s="249" t="s">
        <v>3369</v>
      </c>
      <c r="D8" s="79"/>
      <c r="E8" s="79"/>
      <c r="F8" s="79"/>
      <c r="G8" s="79"/>
      <c r="H8" s="79"/>
      <c r="I8" s="79"/>
    </row>
    <row r="9" spans="1:9">
      <c r="A9" s="83" t="s">
        <v>3370</v>
      </c>
      <c r="B9" s="251">
        <f>IF(B6=0,"VALOR PATRIMONIO",B5*(1+(1-B8)*(B7/B6)))</f>
        <v>0.77400000000000002</v>
      </c>
      <c r="C9" s="249" t="s">
        <v>3371</v>
      </c>
      <c r="D9" s="79"/>
      <c r="E9" s="79"/>
      <c r="F9" s="79"/>
      <c r="G9" s="79"/>
      <c r="H9" s="79"/>
      <c r="I9" s="79"/>
    </row>
    <row r="10" spans="1:9">
      <c r="A10" s="83" t="s">
        <v>3372</v>
      </c>
      <c r="B10" s="252">
        <f>'MERCADO Y LIBRE DE RIESGO'!D126</f>
        <v>1.4611717050573514E-2</v>
      </c>
      <c r="C10" s="249" t="s">
        <v>3373</v>
      </c>
      <c r="D10" s="79"/>
      <c r="E10" s="79"/>
      <c r="F10" s="79"/>
      <c r="G10" s="79"/>
      <c r="H10" s="79"/>
      <c r="I10" s="79"/>
    </row>
    <row r="11" spans="1:9">
      <c r="A11" s="83" t="s">
        <v>3374</v>
      </c>
      <c r="B11" s="253">
        <f>'MERCADO Y LIBRE DE RIESGO'!B126</f>
        <v>0.11905219988153348</v>
      </c>
      <c r="C11" s="249" t="s">
        <v>3375</v>
      </c>
      <c r="D11" s="79"/>
      <c r="E11" s="79"/>
      <c r="F11" s="79"/>
      <c r="G11" s="79"/>
      <c r="H11" s="79"/>
      <c r="I11" s="79"/>
    </row>
    <row r="12" spans="1:9">
      <c r="A12" s="83" t="s">
        <v>3376</v>
      </c>
      <c r="B12" s="253">
        <f>B11-B10</f>
        <v>0.10444048283095997</v>
      </c>
      <c r="C12" s="249" t="s">
        <v>3377</v>
      </c>
      <c r="D12" s="79"/>
      <c r="E12" s="79"/>
      <c r="F12" s="79"/>
      <c r="G12" s="79"/>
      <c r="H12" s="79"/>
      <c r="I12" s="79"/>
    </row>
    <row r="13" spans="1:9">
      <c r="A13" s="83" t="s">
        <v>3378</v>
      </c>
      <c r="B13" s="253">
        <f>IF(B6=0,0,B10+(B12*B9))</f>
        <v>9.5448650761736531E-2</v>
      </c>
      <c r="C13" s="249" t="s">
        <v>3379</v>
      </c>
      <c r="D13" s="79"/>
      <c r="E13" s="79"/>
      <c r="F13" s="79"/>
      <c r="G13" s="79"/>
      <c r="H13" s="79"/>
      <c r="I13" s="79"/>
    </row>
    <row r="14" spans="1:9">
      <c r="A14" s="83" t="s">
        <v>3380</v>
      </c>
      <c r="B14" s="253">
        <f>'RIESGO PAÍS'!C21</f>
        <v>2.4993979999999999E-2</v>
      </c>
      <c r="C14" s="249" t="s">
        <v>3381</v>
      </c>
      <c r="D14" s="79"/>
      <c r="E14" s="79"/>
      <c r="F14" s="79"/>
      <c r="G14" s="79"/>
      <c r="H14" s="79"/>
      <c r="I14" s="79"/>
    </row>
    <row r="15" spans="1:9">
      <c r="A15" s="83" t="s">
        <v>3382</v>
      </c>
      <c r="B15" s="253">
        <v>3.4000000000000002E-2</v>
      </c>
      <c r="C15" s="249" t="s">
        <v>3383</v>
      </c>
      <c r="D15" s="79"/>
      <c r="E15" s="79"/>
      <c r="F15" s="79"/>
      <c r="G15" s="79"/>
      <c r="H15" s="79"/>
      <c r="I15" s="79"/>
    </row>
    <row r="16" spans="1:9">
      <c r="A16" s="83" t="s">
        <v>3384</v>
      </c>
      <c r="B16" s="254">
        <f>IF(B6=0,"VALOR PATRIMONIO",B13+B14)</f>
        <v>0.12044263076173653</v>
      </c>
      <c r="C16" s="249" t="s">
        <v>3385</v>
      </c>
      <c r="D16" s="79"/>
      <c r="E16" s="79"/>
      <c r="F16" s="79"/>
      <c r="G16" s="79"/>
      <c r="H16" s="79"/>
      <c r="I16" s="79"/>
    </row>
    <row r="17" spans="1:9">
      <c r="A17" s="83" t="s">
        <v>2812</v>
      </c>
      <c r="B17" s="253">
        <f>'DEVALUACIÓN 2023'!K25</f>
        <v>8.1284928781704249E-2</v>
      </c>
      <c r="C17" s="249" t="s">
        <v>3386</v>
      </c>
      <c r="D17" s="79"/>
      <c r="E17" s="79"/>
      <c r="F17" s="79"/>
      <c r="G17" s="79"/>
      <c r="H17" s="79"/>
      <c r="I17" s="79"/>
    </row>
    <row r="18" spans="1:9">
      <c r="A18" s="101" t="s">
        <v>3387</v>
      </c>
      <c r="B18" s="255">
        <f>IF(B6=0,"VALOR PATRIMONIO",((1+B17)*(1+B16))-1)</f>
        <v>0.21151773020718978</v>
      </c>
      <c r="C18" s="249" t="s">
        <v>3388</v>
      </c>
      <c r="D18" s="79"/>
      <c r="E18" s="79"/>
      <c r="F18" s="79"/>
      <c r="G18" s="79"/>
      <c r="H18" s="79"/>
      <c r="I18" s="79"/>
    </row>
    <row r="19" spans="1:9">
      <c r="A19" s="83" t="s">
        <v>3389</v>
      </c>
      <c r="B19" s="253">
        <v>0.13</v>
      </c>
      <c r="C19" s="249" t="s">
        <v>3390</v>
      </c>
      <c r="D19" s="79"/>
      <c r="E19" s="79"/>
      <c r="F19" s="79"/>
      <c r="G19" s="79"/>
      <c r="H19" s="79"/>
      <c r="I19" s="79"/>
    </row>
    <row r="20" spans="1:9">
      <c r="A20" s="83" t="s">
        <v>3391</v>
      </c>
      <c r="B20" s="252">
        <f>B19*(1-B8)</f>
        <v>8.4500000000000006E-2</v>
      </c>
      <c r="C20" s="249" t="s">
        <v>3392</v>
      </c>
      <c r="D20" s="79"/>
      <c r="E20" s="79"/>
      <c r="F20" s="79"/>
      <c r="G20" s="79"/>
      <c r="H20" s="79"/>
      <c r="I20" s="79"/>
    </row>
    <row r="21" spans="1:9">
      <c r="A21" s="83" t="s">
        <v>3393</v>
      </c>
      <c r="B21" s="253">
        <f>1-B22</f>
        <v>0.4</v>
      </c>
      <c r="C21" s="249" t="s">
        <v>3394</v>
      </c>
      <c r="D21" s="79"/>
      <c r="E21" s="79"/>
      <c r="F21" s="79"/>
      <c r="G21" s="79"/>
      <c r="H21" s="79"/>
      <c r="I21" s="79"/>
    </row>
    <row r="22" spans="1:9">
      <c r="A22" s="83" t="s">
        <v>3395</v>
      </c>
      <c r="B22" s="252">
        <f>IF(B6=0,0,B6/(B6+B7))</f>
        <v>0.6</v>
      </c>
      <c r="C22" s="249" t="s">
        <v>3396</v>
      </c>
      <c r="D22" s="79"/>
      <c r="E22" s="79"/>
      <c r="F22" s="79"/>
      <c r="G22" s="79"/>
      <c r="H22" s="79"/>
      <c r="I22" s="79"/>
    </row>
    <row r="23" spans="1:9" ht="15" thickBot="1">
      <c r="A23" s="85" t="s">
        <v>3397</v>
      </c>
      <c r="B23" s="256">
        <f>IF(B6=0,"VALOR PATRIMONIO",(((B22*B18+B21*B20)/(1-B8))+1)/(1+B15))-1</f>
        <v>0.20623514078903993</v>
      </c>
      <c r="C23" s="104" t="s">
        <v>3398</v>
      </c>
      <c r="D23" s="79"/>
      <c r="E23" s="79"/>
      <c r="F23" s="79"/>
      <c r="G23" s="79"/>
      <c r="H23" s="79"/>
      <c r="I23" s="79"/>
    </row>
    <row r="24" spans="1:9" ht="15" thickBot="1">
      <c r="A24" s="79"/>
      <c r="B24" s="79"/>
      <c r="C24" s="79"/>
      <c r="D24" s="79"/>
      <c r="E24" s="79"/>
      <c r="F24" s="79"/>
      <c r="G24" s="79"/>
      <c r="H24" s="79"/>
      <c r="I24" s="79"/>
    </row>
    <row r="25" spans="1:9">
      <c r="A25" s="852" t="s">
        <v>3399</v>
      </c>
      <c r="B25" s="853"/>
      <c r="C25" s="853"/>
      <c r="D25" s="853"/>
      <c r="E25" s="853"/>
      <c r="F25" s="853"/>
      <c r="G25" s="854"/>
      <c r="H25" s="79"/>
      <c r="I25" s="79"/>
    </row>
    <row r="26" spans="1:9" ht="15" thickBot="1">
      <c r="A26" s="858"/>
      <c r="B26" s="859"/>
      <c r="C26" s="859"/>
      <c r="D26" s="859"/>
      <c r="E26" s="859"/>
      <c r="F26" s="859"/>
      <c r="G26" s="860"/>
      <c r="H26" s="79"/>
      <c r="I26" s="79"/>
    </row>
    <row r="27" spans="1:9">
      <c r="A27" s="79"/>
      <c r="B27" s="386"/>
      <c r="C27" s="79"/>
      <c r="D27" s="79"/>
      <c r="E27" s="79"/>
      <c r="F27" s="79"/>
      <c r="G27" s="79"/>
      <c r="H27" s="79"/>
      <c r="I27" s="79"/>
    </row>
    <row r="28" spans="1:9">
      <c r="A28" s="79"/>
      <c r="B28" s="79"/>
      <c r="C28" s="79"/>
      <c r="D28" s="79"/>
      <c r="E28" s="79"/>
      <c r="F28" s="79"/>
      <c r="G28" s="79"/>
      <c r="H28" s="79"/>
      <c r="I28" s="79"/>
    </row>
    <row r="29" spans="1:9">
      <c r="A29" s="79"/>
      <c r="B29" s="79"/>
      <c r="C29" s="79"/>
      <c r="D29" s="79"/>
      <c r="E29" s="79"/>
      <c r="F29" s="79"/>
      <c r="G29" s="79"/>
      <c r="H29" s="79"/>
      <c r="I29" s="79"/>
    </row>
    <row r="30" spans="1:9">
      <c r="A30" s="79"/>
      <c r="B30" s="79"/>
      <c r="C30" s="79"/>
      <c r="D30" s="79"/>
      <c r="E30" s="79"/>
      <c r="F30" s="79"/>
      <c r="G30" s="79"/>
      <c r="H30" s="79"/>
      <c r="I30" s="79"/>
    </row>
    <row r="31" spans="1:9">
      <c r="A31" s="79"/>
      <c r="B31" s="79"/>
      <c r="C31" s="79"/>
      <c r="D31" s="79"/>
      <c r="E31" s="79"/>
      <c r="F31" s="79"/>
      <c r="G31" s="79"/>
      <c r="H31" s="79"/>
      <c r="I31" s="79"/>
    </row>
    <row r="32" spans="1:9">
      <c r="A32" s="79"/>
      <c r="B32" s="79"/>
      <c r="C32" s="79"/>
      <c r="D32" s="79"/>
      <c r="E32" s="79"/>
      <c r="F32" s="79"/>
      <c r="G32" s="79"/>
      <c r="H32" s="79"/>
      <c r="I32" s="79"/>
    </row>
  </sheetData>
  <mergeCells count="2">
    <mergeCell ref="A1:G2"/>
    <mergeCell ref="A25:G2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7580-C40E-4263-8232-8E7299C8D7B0}">
  <dimension ref="A1:P97"/>
  <sheetViews>
    <sheetView topLeftCell="A77" workbookViewId="0">
      <selection activeCell="A103" sqref="A103"/>
    </sheetView>
  </sheetViews>
  <sheetFormatPr baseColWidth="10" defaultColWidth="11.453125" defaultRowHeight="14.5"/>
  <cols>
    <col min="1" max="1" width="31.26953125" customWidth="1"/>
  </cols>
  <sheetData>
    <row r="1" spans="1:16" ht="95">
      <c r="A1" s="353" t="s">
        <v>2847</v>
      </c>
      <c r="B1" s="354" t="s">
        <v>2848</v>
      </c>
      <c r="C1" s="354" t="s">
        <v>3400</v>
      </c>
      <c r="D1" s="354" t="s">
        <v>3401</v>
      </c>
      <c r="E1" s="354" t="s">
        <v>3402</v>
      </c>
      <c r="F1" s="354" t="s">
        <v>3403</v>
      </c>
      <c r="G1" s="354" t="s">
        <v>3404</v>
      </c>
      <c r="H1" s="354" t="s">
        <v>3405</v>
      </c>
      <c r="I1" s="354" t="s">
        <v>3406</v>
      </c>
      <c r="J1" s="354" t="s">
        <v>3407</v>
      </c>
      <c r="K1" s="354" t="s">
        <v>3408</v>
      </c>
      <c r="L1" s="354">
        <v>2020</v>
      </c>
      <c r="M1" s="354">
        <v>2021</v>
      </c>
      <c r="N1" s="354">
        <v>2022</v>
      </c>
      <c r="O1" s="354">
        <v>2023</v>
      </c>
      <c r="P1" s="354" t="s">
        <v>3409</v>
      </c>
    </row>
    <row r="2" spans="1:16" ht="15.5">
      <c r="A2" s="355" t="s">
        <v>2854</v>
      </c>
      <c r="B2" s="126">
        <v>57</v>
      </c>
      <c r="C2" s="126" t="s">
        <v>3410</v>
      </c>
      <c r="D2" s="126" t="s">
        <v>3411</v>
      </c>
      <c r="E2" s="126" t="s">
        <v>3412</v>
      </c>
      <c r="F2" s="126">
        <v>1.1000000000000001</v>
      </c>
      <c r="G2" s="126" t="s">
        <v>3413</v>
      </c>
      <c r="H2" s="126" t="s">
        <v>3090</v>
      </c>
      <c r="I2" s="126" t="s">
        <v>3414</v>
      </c>
      <c r="J2" s="126" t="s">
        <v>3415</v>
      </c>
      <c r="K2" s="126" t="s">
        <v>3416</v>
      </c>
      <c r="L2" s="126" t="s">
        <v>3417</v>
      </c>
      <c r="M2" s="356" t="s">
        <v>3418</v>
      </c>
      <c r="N2" s="126" t="s">
        <v>2971</v>
      </c>
      <c r="O2" s="126" t="s">
        <v>3147</v>
      </c>
      <c r="P2" s="357" t="s">
        <v>3419</v>
      </c>
    </row>
    <row r="3" spans="1:16" ht="15.5">
      <c r="A3" s="358" t="s">
        <v>2859</v>
      </c>
      <c r="B3" s="359">
        <v>70</v>
      </c>
      <c r="C3" s="359" t="s">
        <v>2885</v>
      </c>
      <c r="D3" s="359" t="s">
        <v>3420</v>
      </c>
      <c r="E3" s="359" t="s">
        <v>3421</v>
      </c>
      <c r="F3" s="359">
        <v>0.9</v>
      </c>
      <c r="G3" s="359" t="s">
        <v>3422</v>
      </c>
      <c r="H3" s="359" t="s">
        <v>3417</v>
      </c>
      <c r="I3" s="359" t="s">
        <v>3423</v>
      </c>
      <c r="J3" s="359" t="s">
        <v>3424</v>
      </c>
      <c r="K3" s="359" t="s">
        <v>3425</v>
      </c>
      <c r="L3" s="359" t="s">
        <v>2885</v>
      </c>
      <c r="M3" s="360" t="s">
        <v>3426</v>
      </c>
      <c r="N3" s="359" t="s">
        <v>3130</v>
      </c>
      <c r="O3" s="359" t="s">
        <v>3061</v>
      </c>
      <c r="P3" s="361" t="s">
        <v>3427</v>
      </c>
    </row>
    <row r="4" spans="1:16" ht="15.5">
      <c r="A4" s="355" t="s">
        <v>2864</v>
      </c>
      <c r="B4" s="126">
        <v>25</v>
      </c>
      <c r="C4" s="126" t="s">
        <v>2966</v>
      </c>
      <c r="D4" s="126" t="s">
        <v>3428</v>
      </c>
      <c r="E4" s="126" t="s">
        <v>3429</v>
      </c>
      <c r="F4" s="126">
        <v>0.56999999999999995</v>
      </c>
      <c r="G4" s="126" t="s">
        <v>3430</v>
      </c>
      <c r="H4" s="126" t="s">
        <v>3250</v>
      </c>
      <c r="I4" s="126" t="s">
        <v>3431</v>
      </c>
      <c r="J4" s="126" t="s">
        <v>3432</v>
      </c>
      <c r="K4" s="126" t="s">
        <v>3433</v>
      </c>
      <c r="L4" s="126" t="s">
        <v>3191</v>
      </c>
      <c r="M4" s="356" t="s">
        <v>3426</v>
      </c>
      <c r="N4" s="126" t="s">
        <v>3426</v>
      </c>
      <c r="O4" s="126" t="s">
        <v>3434</v>
      </c>
      <c r="P4" s="357" t="s">
        <v>3071</v>
      </c>
    </row>
    <row r="5" spans="1:16" ht="15.5">
      <c r="A5" s="358" t="s">
        <v>2869</v>
      </c>
      <c r="B5" s="359">
        <v>38</v>
      </c>
      <c r="C5" s="359" t="s">
        <v>3435</v>
      </c>
      <c r="D5" s="359" t="s">
        <v>3436</v>
      </c>
      <c r="E5" s="359" t="s">
        <v>3437</v>
      </c>
      <c r="F5" s="359">
        <v>0.87</v>
      </c>
      <c r="G5" s="359" t="s">
        <v>3438</v>
      </c>
      <c r="H5" s="359" t="s">
        <v>3417</v>
      </c>
      <c r="I5" s="359" t="s">
        <v>3439</v>
      </c>
      <c r="J5" s="359" t="s">
        <v>3440</v>
      </c>
      <c r="K5" s="359" t="s">
        <v>3192</v>
      </c>
      <c r="L5" s="359" t="s">
        <v>3155</v>
      </c>
      <c r="M5" s="360" t="s">
        <v>3066</v>
      </c>
      <c r="N5" s="359" t="s">
        <v>2971</v>
      </c>
      <c r="O5" s="359" t="s">
        <v>2997</v>
      </c>
      <c r="P5" s="361" t="s">
        <v>3441</v>
      </c>
    </row>
    <row r="6" spans="1:16" ht="15.5">
      <c r="A6" s="355" t="s">
        <v>2874</v>
      </c>
      <c r="B6" s="126">
        <v>34</v>
      </c>
      <c r="C6" s="126" t="s">
        <v>3139</v>
      </c>
      <c r="D6" s="126" t="s">
        <v>3442</v>
      </c>
      <c r="E6" s="126" t="s">
        <v>3443</v>
      </c>
      <c r="F6" s="126">
        <v>1.24</v>
      </c>
      <c r="G6" s="126" t="s">
        <v>3444</v>
      </c>
      <c r="H6" s="126" t="s">
        <v>2900</v>
      </c>
      <c r="I6" s="126" t="s">
        <v>3445</v>
      </c>
      <c r="J6" s="126" t="s">
        <v>3446</v>
      </c>
      <c r="K6" s="126" t="s">
        <v>3447</v>
      </c>
      <c r="L6" s="126" t="s">
        <v>3448</v>
      </c>
      <c r="M6" s="356" t="s">
        <v>3427</v>
      </c>
      <c r="N6" s="126" t="s">
        <v>2997</v>
      </c>
      <c r="O6" s="126" t="s">
        <v>3061</v>
      </c>
      <c r="P6" s="357" t="s">
        <v>3224</v>
      </c>
    </row>
    <row r="7" spans="1:16" ht="15.5">
      <c r="A7" s="358" t="s">
        <v>2879</v>
      </c>
      <c r="B7" s="359">
        <v>39</v>
      </c>
      <c r="C7" s="359" t="s">
        <v>3221</v>
      </c>
      <c r="D7" s="359" t="s">
        <v>3449</v>
      </c>
      <c r="E7" s="359" t="s">
        <v>3450</v>
      </c>
      <c r="F7" s="359">
        <v>1.04</v>
      </c>
      <c r="G7" s="359" t="s">
        <v>3451</v>
      </c>
      <c r="H7" s="359" t="s">
        <v>3016</v>
      </c>
      <c r="I7" s="359" t="s">
        <v>3452</v>
      </c>
      <c r="J7" s="359" t="s">
        <v>3453</v>
      </c>
      <c r="K7" s="359" t="s">
        <v>3454</v>
      </c>
      <c r="L7" s="359" t="s">
        <v>3114</v>
      </c>
      <c r="M7" s="360" t="s">
        <v>3455</v>
      </c>
      <c r="N7" s="359" t="s">
        <v>3456</v>
      </c>
      <c r="O7" s="359" t="s">
        <v>2908</v>
      </c>
      <c r="P7" s="361" t="s">
        <v>3130</v>
      </c>
    </row>
    <row r="8" spans="1:16" ht="15.5">
      <c r="A8" s="355" t="s">
        <v>2884</v>
      </c>
      <c r="B8" s="126">
        <v>15</v>
      </c>
      <c r="C8" s="126" t="s">
        <v>3135</v>
      </c>
      <c r="D8" s="126" t="s">
        <v>3457</v>
      </c>
      <c r="E8" s="126" t="s">
        <v>3458</v>
      </c>
      <c r="F8" s="126">
        <v>0.4</v>
      </c>
      <c r="G8" s="126" t="s">
        <v>3459</v>
      </c>
      <c r="H8" s="126" t="s">
        <v>3250</v>
      </c>
      <c r="I8" s="126" t="s">
        <v>3460</v>
      </c>
      <c r="J8" s="126" t="s">
        <v>3461</v>
      </c>
      <c r="K8" s="126" t="s">
        <v>2548</v>
      </c>
      <c r="L8" s="126" t="s">
        <v>3462</v>
      </c>
      <c r="M8" s="356" t="s">
        <v>3463</v>
      </c>
      <c r="N8" s="126" t="s">
        <v>3224</v>
      </c>
      <c r="O8" s="126" t="s">
        <v>3464</v>
      </c>
      <c r="P8" s="357" t="s">
        <v>3465</v>
      </c>
    </row>
    <row r="9" spans="1:16" ht="15.5">
      <c r="A9" s="358" t="s">
        <v>2889</v>
      </c>
      <c r="B9" s="359">
        <v>625</v>
      </c>
      <c r="C9" s="359" t="s">
        <v>3466</v>
      </c>
      <c r="D9" s="359" t="s">
        <v>3467</v>
      </c>
      <c r="E9" s="359" t="s">
        <v>3458</v>
      </c>
      <c r="F9" s="359">
        <v>0.26</v>
      </c>
      <c r="G9" s="359" t="s">
        <v>3468</v>
      </c>
      <c r="H9" s="359" t="s">
        <v>3469</v>
      </c>
      <c r="I9" s="359" t="s">
        <v>3470</v>
      </c>
      <c r="J9" s="359" t="s">
        <v>3471</v>
      </c>
      <c r="K9" s="359" t="s">
        <v>3472</v>
      </c>
      <c r="L9" s="359" t="s">
        <v>3473</v>
      </c>
      <c r="M9" s="360" t="s">
        <v>3474</v>
      </c>
      <c r="N9" s="359" t="s">
        <v>3191</v>
      </c>
      <c r="O9" s="359" t="s">
        <v>3475</v>
      </c>
      <c r="P9" s="361" t="s">
        <v>3476</v>
      </c>
    </row>
    <row r="10" spans="1:16" ht="15.5">
      <c r="A10" s="355" t="s">
        <v>2894</v>
      </c>
      <c r="B10" s="126">
        <v>19</v>
      </c>
      <c r="C10" s="126" t="s">
        <v>3477</v>
      </c>
      <c r="D10" s="126" t="s">
        <v>3478</v>
      </c>
      <c r="E10" s="126" t="s">
        <v>3479</v>
      </c>
      <c r="F10" s="126">
        <v>0.96</v>
      </c>
      <c r="G10" s="126" t="s">
        <v>3480</v>
      </c>
      <c r="H10" s="126" t="s">
        <v>3481</v>
      </c>
      <c r="I10" s="126" t="s">
        <v>3482</v>
      </c>
      <c r="J10" s="126" t="s">
        <v>3483</v>
      </c>
      <c r="K10" s="126" t="s">
        <v>3484</v>
      </c>
      <c r="L10" s="126" t="s">
        <v>3011</v>
      </c>
      <c r="M10" s="356" t="s">
        <v>3176</v>
      </c>
      <c r="N10" s="126" t="s">
        <v>3485</v>
      </c>
      <c r="O10" s="126" t="s">
        <v>3231</v>
      </c>
      <c r="P10" s="357" t="s">
        <v>3155</v>
      </c>
    </row>
    <row r="11" spans="1:16" ht="15.5">
      <c r="A11" s="358" t="s">
        <v>2899</v>
      </c>
      <c r="B11" s="359">
        <v>29</v>
      </c>
      <c r="C11" s="359" t="s">
        <v>3486</v>
      </c>
      <c r="D11" s="359" t="s">
        <v>3487</v>
      </c>
      <c r="E11" s="359" t="s">
        <v>3488</v>
      </c>
      <c r="F11" s="359">
        <v>0.68</v>
      </c>
      <c r="G11" s="359" t="s">
        <v>3489</v>
      </c>
      <c r="H11" s="359" t="s">
        <v>3490</v>
      </c>
      <c r="I11" s="359" t="s">
        <v>3491</v>
      </c>
      <c r="J11" s="359" t="s">
        <v>3492</v>
      </c>
      <c r="K11" s="359" t="s">
        <v>3493</v>
      </c>
      <c r="L11" s="359" t="s">
        <v>3455</v>
      </c>
      <c r="M11" s="360" t="s">
        <v>3465</v>
      </c>
      <c r="N11" s="359" t="s">
        <v>3016</v>
      </c>
      <c r="O11" s="359" t="s">
        <v>2908</v>
      </c>
      <c r="P11" s="361" t="s">
        <v>3441</v>
      </c>
    </row>
    <row r="12" spans="1:16" ht="15.5">
      <c r="A12" s="355" t="s">
        <v>2903</v>
      </c>
      <c r="B12" s="126">
        <v>22</v>
      </c>
      <c r="C12" s="126" t="s">
        <v>3135</v>
      </c>
      <c r="D12" s="126" t="s">
        <v>3494</v>
      </c>
      <c r="E12" s="126" t="s">
        <v>3495</v>
      </c>
      <c r="F12" s="126">
        <v>0.46</v>
      </c>
      <c r="G12" s="126" t="s">
        <v>3429</v>
      </c>
      <c r="H12" s="126" t="s">
        <v>2890</v>
      </c>
      <c r="I12" s="126" t="s">
        <v>3496</v>
      </c>
      <c r="J12" s="126" t="s">
        <v>3497</v>
      </c>
      <c r="K12" s="126" t="s">
        <v>3498</v>
      </c>
      <c r="L12" s="126" t="s">
        <v>3122</v>
      </c>
      <c r="M12" s="356" t="s">
        <v>3499</v>
      </c>
      <c r="N12" s="126" t="s">
        <v>3500</v>
      </c>
      <c r="O12" s="126" t="s">
        <v>3490</v>
      </c>
      <c r="P12" s="357" t="s">
        <v>3501</v>
      </c>
    </row>
    <row r="13" spans="1:16" ht="15.5">
      <c r="A13" s="358" t="s">
        <v>2907</v>
      </c>
      <c r="B13" s="359">
        <v>27</v>
      </c>
      <c r="C13" s="359" t="s">
        <v>3016</v>
      </c>
      <c r="D13" s="359" t="s">
        <v>3502</v>
      </c>
      <c r="E13" s="359" t="s">
        <v>3503</v>
      </c>
      <c r="F13" s="359">
        <v>0.42</v>
      </c>
      <c r="G13" s="359" t="s">
        <v>3504</v>
      </c>
      <c r="H13" s="359" t="s">
        <v>3505</v>
      </c>
      <c r="I13" s="359" t="s">
        <v>3506</v>
      </c>
      <c r="J13" s="359" t="s">
        <v>3507</v>
      </c>
      <c r="K13" s="359" t="s">
        <v>3508</v>
      </c>
      <c r="L13" s="359" t="s">
        <v>3509</v>
      </c>
      <c r="M13" s="360" t="s">
        <v>3509</v>
      </c>
      <c r="N13" s="359" t="s">
        <v>3176</v>
      </c>
      <c r="O13" s="359" t="s">
        <v>3434</v>
      </c>
      <c r="P13" s="361" t="s">
        <v>3510</v>
      </c>
    </row>
    <row r="14" spans="1:16" ht="15.5">
      <c r="A14" s="355" t="s">
        <v>2912</v>
      </c>
      <c r="B14" s="126">
        <v>44</v>
      </c>
      <c r="C14" s="126" t="s">
        <v>2870</v>
      </c>
      <c r="D14" s="126" t="s">
        <v>3511</v>
      </c>
      <c r="E14" s="126" t="s">
        <v>3512</v>
      </c>
      <c r="F14" s="126">
        <v>1.1599999999999999</v>
      </c>
      <c r="G14" s="126" t="s">
        <v>3513</v>
      </c>
      <c r="H14" s="126" t="s">
        <v>3456</v>
      </c>
      <c r="I14" s="126" t="s">
        <v>3514</v>
      </c>
      <c r="J14" s="126" t="s">
        <v>3515</v>
      </c>
      <c r="K14" s="126" t="s">
        <v>3516</v>
      </c>
      <c r="L14" s="126" t="s">
        <v>2997</v>
      </c>
      <c r="M14" s="356" t="s">
        <v>3481</v>
      </c>
      <c r="N14" s="126" t="s">
        <v>3455</v>
      </c>
      <c r="O14" s="126" t="s">
        <v>2971</v>
      </c>
      <c r="P14" s="357" t="s">
        <v>2885</v>
      </c>
    </row>
    <row r="15" spans="1:16" ht="15.5">
      <c r="A15" s="358" t="s">
        <v>2917</v>
      </c>
      <c r="B15" s="359">
        <v>162</v>
      </c>
      <c r="C15" s="359" t="s">
        <v>2997</v>
      </c>
      <c r="D15" s="359" t="s">
        <v>3517</v>
      </c>
      <c r="E15" s="359" t="s">
        <v>3518</v>
      </c>
      <c r="F15" s="359">
        <v>0.9</v>
      </c>
      <c r="G15" s="359" t="s">
        <v>3519</v>
      </c>
      <c r="H15" s="359" t="s">
        <v>3417</v>
      </c>
      <c r="I15" s="359" t="s">
        <v>3520</v>
      </c>
      <c r="J15" s="359" t="s">
        <v>3521</v>
      </c>
      <c r="K15" s="359" t="s">
        <v>3522</v>
      </c>
      <c r="L15" s="359" t="s">
        <v>3006</v>
      </c>
      <c r="M15" s="360" t="s">
        <v>3155</v>
      </c>
      <c r="N15" s="359" t="s">
        <v>3104</v>
      </c>
      <c r="O15" s="359" t="s">
        <v>2997</v>
      </c>
      <c r="P15" s="361" t="s">
        <v>3417</v>
      </c>
    </row>
    <row r="16" spans="1:16" ht="15.5">
      <c r="A16" s="355" t="s">
        <v>2922</v>
      </c>
      <c r="B16" s="126">
        <v>10</v>
      </c>
      <c r="C16" s="126" t="s">
        <v>2913</v>
      </c>
      <c r="D16" s="126" t="s">
        <v>3523</v>
      </c>
      <c r="E16" s="126" t="s">
        <v>3524</v>
      </c>
      <c r="F16" s="126">
        <v>0.72</v>
      </c>
      <c r="G16" s="126" t="s">
        <v>3525</v>
      </c>
      <c r="H16" s="126" t="s">
        <v>3464</v>
      </c>
      <c r="I16" s="126" t="s">
        <v>3526</v>
      </c>
      <c r="J16" s="126" t="s">
        <v>3527</v>
      </c>
      <c r="K16" s="126" t="s">
        <v>3528</v>
      </c>
      <c r="L16" s="126" t="s">
        <v>3529</v>
      </c>
      <c r="M16" s="356" t="s">
        <v>3530</v>
      </c>
      <c r="N16" s="126" t="s">
        <v>3531</v>
      </c>
      <c r="O16" s="126" t="s">
        <v>3465</v>
      </c>
      <c r="P16" s="357" t="s">
        <v>3485</v>
      </c>
    </row>
    <row r="17" spans="1:16" ht="15.5">
      <c r="A17" s="358" t="s">
        <v>2927</v>
      </c>
      <c r="B17" s="359">
        <v>32</v>
      </c>
      <c r="C17" s="359" t="s">
        <v>2971</v>
      </c>
      <c r="D17" s="359" t="s">
        <v>3532</v>
      </c>
      <c r="E17" s="359" t="s">
        <v>3533</v>
      </c>
      <c r="F17" s="359">
        <v>0.82</v>
      </c>
      <c r="G17" s="359" t="s">
        <v>3534</v>
      </c>
      <c r="H17" s="359" t="s">
        <v>3535</v>
      </c>
      <c r="I17" s="359" t="s">
        <v>3536</v>
      </c>
      <c r="J17" s="359" t="s">
        <v>3537</v>
      </c>
      <c r="K17" s="359" t="s">
        <v>3538</v>
      </c>
      <c r="L17" s="359" t="s">
        <v>3104</v>
      </c>
      <c r="M17" s="360" t="s">
        <v>3486</v>
      </c>
      <c r="N17" s="359" t="s">
        <v>3066</v>
      </c>
      <c r="O17" s="359" t="s">
        <v>3441</v>
      </c>
      <c r="P17" s="361" t="s">
        <v>3539</v>
      </c>
    </row>
    <row r="18" spans="1:16" ht="15.5">
      <c r="A18" s="355" t="s">
        <v>2932</v>
      </c>
      <c r="B18" s="126">
        <v>4</v>
      </c>
      <c r="C18" s="126" t="s">
        <v>3477</v>
      </c>
      <c r="D18" s="126" t="s">
        <v>3540</v>
      </c>
      <c r="E18" s="126" t="s">
        <v>3541</v>
      </c>
      <c r="F18" s="126">
        <v>0.74</v>
      </c>
      <c r="G18" s="126" t="s">
        <v>3542</v>
      </c>
      <c r="H18" s="126" t="s">
        <v>3500</v>
      </c>
      <c r="I18" s="126" t="s">
        <v>3543</v>
      </c>
      <c r="J18" s="126" t="s">
        <v>3544</v>
      </c>
      <c r="K18" s="126" t="s">
        <v>3545</v>
      </c>
      <c r="L18" s="126" t="s">
        <v>3456</v>
      </c>
      <c r="M18" s="356" t="s">
        <v>3224</v>
      </c>
      <c r="N18" s="126" t="s">
        <v>3456</v>
      </c>
      <c r="O18" s="126" t="s">
        <v>3455</v>
      </c>
      <c r="P18" s="357" t="s">
        <v>3419</v>
      </c>
    </row>
    <row r="19" spans="1:16" ht="15.5">
      <c r="A19" s="358" t="s">
        <v>2936</v>
      </c>
      <c r="B19" s="359">
        <v>68</v>
      </c>
      <c r="C19" s="359" t="s">
        <v>3455</v>
      </c>
      <c r="D19" s="359" t="s">
        <v>3546</v>
      </c>
      <c r="E19" s="359" t="s">
        <v>3547</v>
      </c>
      <c r="F19" s="359">
        <v>0.91</v>
      </c>
      <c r="G19" s="359" t="s">
        <v>3548</v>
      </c>
      <c r="H19" s="359" t="s">
        <v>3066</v>
      </c>
      <c r="I19" s="359" t="s">
        <v>3549</v>
      </c>
      <c r="J19" s="359" t="s">
        <v>3550</v>
      </c>
      <c r="K19" s="359" t="s">
        <v>3551</v>
      </c>
      <c r="L19" s="359" t="s">
        <v>3441</v>
      </c>
      <c r="M19" s="360" t="s">
        <v>3552</v>
      </c>
      <c r="N19" s="359" t="s">
        <v>3553</v>
      </c>
      <c r="O19" s="359" t="s">
        <v>3016</v>
      </c>
      <c r="P19" s="361" t="s">
        <v>3481</v>
      </c>
    </row>
    <row r="20" spans="1:16" ht="15.5">
      <c r="A20" s="355" t="s">
        <v>2940</v>
      </c>
      <c r="B20" s="126">
        <v>18</v>
      </c>
      <c r="C20" s="126" t="s">
        <v>2966</v>
      </c>
      <c r="D20" s="126" t="s">
        <v>3225</v>
      </c>
      <c r="E20" s="126" t="s">
        <v>3554</v>
      </c>
      <c r="F20" s="126">
        <v>1.0900000000000001</v>
      </c>
      <c r="G20" s="126" t="s">
        <v>3555</v>
      </c>
      <c r="H20" s="126" t="s">
        <v>2962</v>
      </c>
      <c r="I20" s="126" t="s">
        <v>3556</v>
      </c>
      <c r="J20" s="126" t="s">
        <v>3557</v>
      </c>
      <c r="K20" s="126" t="s">
        <v>3558</v>
      </c>
      <c r="L20" s="126" t="s">
        <v>3427</v>
      </c>
      <c r="M20" s="356" t="s">
        <v>3462</v>
      </c>
      <c r="N20" s="126" t="s">
        <v>3552</v>
      </c>
      <c r="O20" s="126" t="s">
        <v>2887</v>
      </c>
      <c r="P20" s="357" t="s">
        <v>2997</v>
      </c>
    </row>
    <row r="21" spans="1:16" ht="15.5">
      <c r="A21" s="358" t="s">
        <v>2944</v>
      </c>
      <c r="B21" s="359">
        <v>72</v>
      </c>
      <c r="C21" s="359" t="s">
        <v>3553</v>
      </c>
      <c r="D21" s="359" t="s">
        <v>3559</v>
      </c>
      <c r="E21" s="359" t="s">
        <v>3560</v>
      </c>
      <c r="F21" s="359">
        <v>0.82</v>
      </c>
      <c r="G21" s="359" t="s">
        <v>3561</v>
      </c>
      <c r="H21" s="359" t="s">
        <v>3562</v>
      </c>
      <c r="I21" s="359" t="s">
        <v>3563</v>
      </c>
      <c r="J21" s="359" t="s">
        <v>3564</v>
      </c>
      <c r="K21" s="359" t="s">
        <v>3565</v>
      </c>
      <c r="L21" s="359" t="s">
        <v>3114</v>
      </c>
      <c r="M21" s="360" t="s">
        <v>3066</v>
      </c>
      <c r="N21" s="359" t="s">
        <v>3135</v>
      </c>
      <c r="O21" s="359" t="s">
        <v>3104</v>
      </c>
      <c r="P21" s="361" t="s">
        <v>3441</v>
      </c>
    </row>
    <row r="22" spans="1:16" ht="15.5">
      <c r="A22" s="355" t="s">
        <v>2948</v>
      </c>
      <c r="B22" s="126">
        <v>36</v>
      </c>
      <c r="C22" s="126" t="s">
        <v>3477</v>
      </c>
      <c r="D22" s="126" t="s">
        <v>3566</v>
      </c>
      <c r="E22" s="126" t="s">
        <v>3567</v>
      </c>
      <c r="F22" s="126">
        <v>1.08</v>
      </c>
      <c r="G22" s="126" t="s">
        <v>3525</v>
      </c>
      <c r="H22" s="126" t="s">
        <v>2971</v>
      </c>
      <c r="I22" s="126" t="s">
        <v>3568</v>
      </c>
      <c r="J22" s="126" t="s">
        <v>3569</v>
      </c>
      <c r="K22" s="126" t="s">
        <v>3570</v>
      </c>
      <c r="L22" s="126" t="s">
        <v>3571</v>
      </c>
      <c r="M22" s="356" t="s">
        <v>3001</v>
      </c>
      <c r="N22" s="126" t="s">
        <v>2928</v>
      </c>
      <c r="O22" s="126" t="s">
        <v>3061</v>
      </c>
      <c r="P22" s="357" t="s">
        <v>2966</v>
      </c>
    </row>
    <row r="23" spans="1:16" ht="15.5">
      <c r="A23" s="358" t="s">
        <v>2953</v>
      </c>
      <c r="B23" s="359">
        <v>11</v>
      </c>
      <c r="C23" s="359" t="s">
        <v>3066</v>
      </c>
      <c r="D23" s="359" t="s">
        <v>3572</v>
      </c>
      <c r="E23" s="359" t="s">
        <v>3573</v>
      </c>
      <c r="F23" s="359">
        <v>0.84</v>
      </c>
      <c r="G23" s="359" t="s">
        <v>3574</v>
      </c>
      <c r="H23" s="359" t="s">
        <v>3575</v>
      </c>
      <c r="I23" s="359" t="s">
        <v>3576</v>
      </c>
      <c r="J23" s="359" t="s">
        <v>3577</v>
      </c>
      <c r="K23" s="359" t="s">
        <v>3578</v>
      </c>
      <c r="L23" s="359" t="s">
        <v>2971</v>
      </c>
      <c r="M23" s="360" t="s">
        <v>3535</v>
      </c>
      <c r="N23" s="359" t="s">
        <v>3095</v>
      </c>
      <c r="O23" s="359" t="s">
        <v>2885</v>
      </c>
      <c r="P23" s="361" t="s">
        <v>3095</v>
      </c>
    </row>
    <row r="24" spans="1:16" ht="15.5">
      <c r="A24" s="355" t="s">
        <v>2956</v>
      </c>
      <c r="B24" s="126">
        <v>23</v>
      </c>
      <c r="C24" s="126" t="s">
        <v>3435</v>
      </c>
      <c r="D24" s="126" t="s">
        <v>3086</v>
      </c>
      <c r="E24" s="126" t="s">
        <v>3579</v>
      </c>
      <c r="F24" s="126">
        <v>1.04</v>
      </c>
      <c r="G24" s="126" t="s">
        <v>3580</v>
      </c>
      <c r="H24" s="126" t="s">
        <v>3455</v>
      </c>
      <c r="I24" s="126" t="s">
        <v>3581</v>
      </c>
      <c r="J24" s="126" t="s">
        <v>3582</v>
      </c>
      <c r="K24" s="126" t="s">
        <v>3583</v>
      </c>
      <c r="L24" s="126" t="s">
        <v>2928</v>
      </c>
      <c r="M24" s="356" t="s">
        <v>3006</v>
      </c>
      <c r="N24" s="126" t="s">
        <v>3490</v>
      </c>
      <c r="O24" s="126" t="s">
        <v>3066</v>
      </c>
      <c r="P24" s="357" t="s">
        <v>3481</v>
      </c>
    </row>
    <row r="25" spans="1:16" ht="15.5">
      <c r="A25" s="358" t="s">
        <v>2961</v>
      </c>
      <c r="B25" s="359">
        <v>572</v>
      </c>
      <c r="C25" s="359" t="s">
        <v>3016</v>
      </c>
      <c r="D25" s="359" t="s">
        <v>3584</v>
      </c>
      <c r="E25" s="359" t="s">
        <v>3585</v>
      </c>
      <c r="F25" s="359">
        <v>1</v>
      </c>
      <c r="G25" s="359" t="s">
        <v>3586</v>
      </c>
      <c r="H25" s="359" t="s">
        <v>3455</v>
      </c>
      <c r="I25" s="359" t="s">
        <v>3587</v>
      </c>
      <c r="J25" s="359" t="s">
        <v>3588</v>
      </c>
      <c r="K25" s="359" t="s">
        <v>3589</v>
      </c>
      <c r="L25" s="359" t="s">
        <v>3590</v>
      </c>
      <c r="M25" s="360" t="s">
        <v>3575</v>
      </c>
      <c r="N25" s="359" t="s">
        <v>3481</v>
      </c>
      <c r="O25" s="359" t="s">
        <v>2908</v>
      </c>
      <c r="P25" s="361" t="s">
        <v>2971</v>
      </c>
    </row>
    <row r="26" spans="1:16" ht="15.5">
      <c r="A26" s="355" t="s">
        <v>2965</v>
      </c>
      <c r="B26" s="126">
        <v>245</v>
      </c>
      <c r="C26" s="126" t="s">
        <v>3224</v>
      </c>
      <c r="D26" s="126" t="s">
        <v>3591</v>
      </c>
      <c r="E26" s="126" t="s">
        <v>3592</v>
      </c>
      <c r="F26" s="126">
        <v>0.92</v>
      </c>
      <c r="G26" s="126" t="s">
        <v>3422</v>
      </c>
      <c r="H26" s="126" t="s">
        <v>3066</v>
      </c>
      <c r="I26" s="126" t="s">
        <v>3593</v>
      </c>
      <c r="J26" s="126" t="s">
        <v>3594</v>
      </c>
      <c r="K26" s="126" t="s">
        <v>3570</v>
      </c>
      <c r="L26" s="126" t="s">
        <v>2949</v>
      </c>
      <c r="M26" s="356" t="s">
        <v>3191</v>
      </c>
      <c r="N26" s="126" t="s">
        <v>2895</v>
      </c>
      <c r="O26" s="126" t="s">
        <v>3090</v>
      </c>
      <c r="P26" s="357" t="s">
        <v>3427</v>
      </c>
    </row>
    <row r="27" spans="1:16" ht="15.5">
      <c r="A27" s="358" t="s">
        <v>2970</v>
      </c>
      <c r="B27" s="359">
        <v>31</v>
      </c>
      <c r="C27" s="359" t="s">
        <v>3061</v>
      </c>
      <c r="D27" s="359" t="s">
        <v>3595</v>
      </c>
      <c r="E27" s="359" t="s">
        <v>3596</v>
      </c>
      <c r="F27" s="359">
        <v>1.07</v>
      </c>
      <c r="G27" s="359" t="s">
        <v>3597</v>
      </c>
      <c r="H27" s="359" t="s">
        <v>3253</v>
      </c>
      <c r="I27" s="359" t="s">
        <v>3598</v>
      </c>
      <c r="J27" s="359" t="s">
        <v>3599</v>
      </c>
      <c r="K27" s="359" t="s">
        <v>3600</v>
      </c>
      <c r="L27" s="359" t="s">
        <v>3116</v>
      </c>
      <c r="M27" s="360" t="s">
        <v>3419</v>
      </c>
      <c r="N27" s="359" t="s">
        <v>2971</v>
      </c>
      <c r="O27" s="359" t="s">
        <v>3104</v>
      </c>
      <c r="P27" s="361" t="s">
        <v>3477</v>
      </c>
    </row>
    <row r="28" spans="1:16" ht="15.5">
      <c r="A28" s="355" t="s">
        <v>2975</v>
      </c>
      <c r="B28" s="126">
        <v>103</v>
      </c>
      <c r="C28" s="126" t="s">
        <v>2962</v>
      </c>
      <c r="D28" s="126" t="s">
        <v>3601</v>
      </c>
      <c r="E28" s="126" t="s">
        <v>3602</v>
      </c>
      <c r="F28" s="126">
        <v>1.07</v>
      </c>
      <c r="G28" s="126" t="s">
        <v>3603</v>
      </c>
      <c r="H28" s="126" t="s">
        <v>3253</v>
      </c>
      <c r="I28" s="126" t="s">
        <v>3604</v>
      </c>
      <c r="J28" s="126" t="s">
        <v>3605</v>
      </c>
      <c r="K28" s="126" t="s">
        <v>3606</v>
      </c>
      <c r="L28" s="126" t="s">
        <v>3607</v>
      </c>
      <c r="M28" s="356">
        <v>1</v>
      </c>
      <c r="N28" s="126" t="s">
        <v>3435</v>
      </c>
      <c r="O28" s="126" t="s">
        <v>2887</v>
      </c>
      <c r="P28" s="357" t="s">
        <v>3081</v>
      </c>
    </row>
    <row r="29" spans="1:16" ht="15.5">
      <c r="A29" s="358" t="s">
        <v>2980</v>
      </c>
      <c r="B29" s="359">
        <v>13</v>
      </c>
      <c r="C29" s="359" t="s">
        <v>2900</v>
      </c>
      <c r="D29" s="359" t="s">
        <v>3608</v>
      </c>
      <c r="E29" s="359" t="s">
        <v>3609</v>
      </c>
      <c r="F29" s="359">
        <v>1.1399999999999999</v>
      </c>
      <c r="G29" s="359" t="s">
        <v>3610</v>
      </c>
      <c r="H29" s="359" t="s">
        <v>2900</v>
      </c>
      <c r="I29" s="359" t="s">
        <v>3611</v>
      </c>
      <c r="J29" s="359" t="s">
        <v>3612</v>
      </c>
      <c r="K29" s="359" t="s">
        <v>3613</v>
      </c>
      <c r="L29" s="359" t="s">
        <v>2928</v>
      </c>
      <c r="M29" s="360" t="s">
        <v>2895</v>
      </c>
      <c r="N29" s="359" t="s">
        <v>3135</v>
      </c>
      <c r="O29" s="359" t="s">
        <v>3194</v>
      </c>
      <c r="P29" s="361" t="s">
        <v>2928</v>
      </c>
    </row>
    <row r="30" spans="1:16" ht="15.5">
      <c r="A30" s="355" t="s">
        <v>2984</v>
      </c>
      <c r="B30" s="126">
        <v>129</v>
      </c>
      <c r="C30" s="126" t="s">
        <v>3417</v>
      </c>
      <c r="D30" s="126" t="s">
        <v>3614</v>
      </c>
      <c r="E30" s="126" t="s">
        <v>3615</v>
      </c>
      <c r="F30" s="126">
        <v>0.83</v>
      </c>
      <c r="G30" s="126" t="s">
        <v>3616</v>
      </c>
      <c r="H30" s="126" t="s">
        <v>3231</v>
      </c>
      <c r="I30" s="126" t="s">
        <v>3617</v>
      </c>
      <c r="J30" s="126" t="s">
        <v>3618</v>
      </c>
      <c r="K30" s="126" t="s">
        <v>3619</v>
      </c>
      <c r="L30" s="126" t="s">
        <v>3419</v>
      </c>
      <c r="M30" s="356" t="s">
        <v>3562</v>
      </c>
      <c r="N30" s="126" t="s">
        <v>3427</v>
      </c>
      <c r="O30" s="126" t="s">
        <v>3016</v>
      </c>
      <c r="P30" s="357" t="s">
        <v>3553</v>
      </c>
    </row>
    <row r="31" spans="1:16" ht="15.5">
      <c r="A31" s="358" t="s">
        <v>2988</v>
      </c>
      <c r="B31" s="359">
        <v>77</v>
      </c>
      <c r="C31" s="359" t="s">
        <v>3135</v>
      </c>
      <c r="D31" s="359" t="s">
        <v>3620</v>
      </c>
      <c r="E31" s="359" t="s">
        <v>3621</v>
      </c>
      <c r="F31" s="359">
        <v>0.88</v>
      </c>
      <c r="G31" s="359" t="s">
        <v>3622</v>
      </c>
      <c r="H31" s="359" t="s">
        <v>3011</v>
      </c>
      <c r="I31" s="359" t="s">
        <v>3623</v>
      </c>
      <c r="J31" s="359" t="s">
        <v>3624</v>
      </c>
      <c r="K31" s="359" t="s">
        <v>3625</v>
      </c>
      <c r="L31" s="359" t="s">
        <v>3206</v>
      </c>
      <c r="M31" s="360" t="s">
        <v>3114</v>
      </c>
      <c r="N31" s="359" t="s">
        <v>3481</v>
      </c>
      <c r="O31" s="359" t="s">
        <v>2997</v>
      </c>
      <c r="P31" s="361" t="s">
        <v>2957</v>
      </c>
    </row>
    <row r="32" spans="1:16" ht="15.5">
      <c r="A32" s="355" t="s">
        <v>2992</v>
      </c>
      <c r="B32" s="126">
        <v>98</v>
      </c>
      <c r="C32" s="126" t="s">
        <v>3104</v>
      </c>
      <c r="D32" s="126" t="s">
        <v>3626</v>
      </c>
      <c r="E32" s="126" t="s">
        <v>3627</v>
      </c>
      <c r="F32" s="126">
        <v>0.82</v>
      </c>
      <c r="G32" s="126" t="s">
        <v>3628</v>
      </c>
      <c r="H32" s="126" t="s">
        <v>3535</v>
      </c>
      <c r="I32" s="126" t="s">
        <v>3629</v>
      </c>
      <c r="J32" s="126" t="s">
        <v>3630</v>
      </c>
      <c r="K32" s="126" t="s">
        <v>3631</v>
      </c>
      <c r="L32" s="126" t="s">
        <v>2908</v>
      </c>
      <c r="M32" s="356" t="s">
        <v>3191</v>
      </c>
      <c r="N32" s="126" t="s">
        <v>3441</v>
      </c>
      <c r="O32" s="126" t="s">
        <v>2928</v>
      </c>
      <c r="P32" s="357" t="s">
        <v>2997</v>
      </c>
    </row>
    <row r="33" spans="1:16" ht="15.5">
      <c r="A33" s="358" t="s">
        <v>2996</v>
      </c>
      <c r="B33" s="359">
        <v>57</v>
      </c>
      <c r="C33" s="359" t="s">
        <v>3426</v>
      </c>
      <c r="D33" s="359" t="s">
        <v>3632</v>
      </c>
      <c r="E33" s="359" t="s">
        <v>3633</v>
      </c>
      <c r="F33" s="359">
        <v>0.78</v>
      </c>
      <c r="G33" s="359" t="s">
        <v>3634</v>
      </c>
      <c r="H33" s="359" t="s">
        <v>3144</v>
      </c>
      <c r="I33" s="359" t="s">
        <v>3635</v>
      </c>
      <c r="J33" s="359" t="s">
        <v>3636</v>
      </c>
      <c r="K33" s="359" t="s">
        <v>3637</v>
      </c>
      <c r="L33" s="359" t="s">
        <v>3427</v>
      </c>
      <c r="M33" s="360" t="s">
        <v>3552</v>
      </c>
      <c r="N33" s="359" t="s">
        <v>3455</v>
      </c>
      <c r="O33" s="359" t="s">
        <v>3562</v>
      </c>
      <c r="P33" s="361" t="s">
        <v>3011</v>
      </c>
    </row>
    <row r="34" spans="1:16" ht="15.5">
      <c r="A34" s="355" t="s">
        <v>3000</v>
      </c>
      <c r="B34" s="126">
        <v>42</v>
      </c>
      <c r="C34" s="126" t="s">
        <v>3104</v>
      </c>
      <c r="D34" s="126" t="s">
        <v>3638</v>
      </c>
      <c r="E34" s="126" t="s">
        <v>3488</v>
      </c>
      <c r="F34" s="126">
        <v>0.74</v>
      </c>
      <c r="G34" s="126" t="s">
        <v>3639</v>
      </c>
      <c r="H34" s="126" t="s">
        <v>3418</v>
      </c>
      <c r="I34" s="126" t="s">
        <v>3640</v>
      </c>
      <c r="J34" s="126" t="s">
        <v>3641</v>
      </c>
      <c r="K34" s="126" t="s">
        <v>3642</v>
      </c>
      <c r="L34" s="126" t="s">
        <v>3643</v>
      </c>
      <c r="M34" s="356" t="s">
        <v>3501</v>
      </c>
      <c r="N34" s="126" t="s">
        <v>3575</v>
      </c>
      <c r="O34" s="126" t="s">
        <v>3417</v>
      </c>
      <c r="P34" s="357" t="s">
        <v>3418</v>
      </c>
    </row>
    <row r="35" spans="1:16" ht="15.5">
      <c r="A35" s="358" t="s">
        <v>3644</v>
      </c>
      <c r="B35" s="359">
        <v>192</v>
      </c>
      <c r="C35" s="359" t="s">
        <v>3001</v>
      </c>
      <c r="D35" s="359" t="s">
        <v>3645</v>
      </c>
      <c r="E35" s="359" t="s">
        <v>3547</v>
      </c>
      <c r="F35" s="359">
        <v>0.32</v>
      </c>
      <c r="G35" s="359" t="s">
        <v>3646</v>
      </c>
      <c r="H35" s="359" t="s">
        <v>3469</v>
      </c>
      <c r="I35" s="359" t="s">
        <v>3647</v>
      </c>
      <c r="J35" s="359" t="s">
        <v>3648</v>
      </c>
      <c r="K35" s="359" t="s">
        <v>3649</v>
      </c>
      <c r="L35" s="359" t="s">
        <v>3650</v>
      </c>
      <c r="M35" s="360" t="s">
        <v>3651</v>
      </c>
      <c r="N35" s="359" t="s">
        <v>3652</v>
      </c>
      <c r="O35" s="359" t="s">
        <v>3651</v>
      </c>
      <c r="P35" s="361" t="s">
        <v>3653</v>
      </c>
    </row>
    <row r="36" spans="1:16" ht="15.5">
      <c r="A36" s="355" t="s">
        <v>3010</v>
      </c>
      <c r="B36" s="126">
        <v>93</v>
      </c>
      <c r="C36" s="126" t="s">
        <v>3465</v>
      </c>
      <c r="D36" s="126" t="s">
        <v>3654</v>
      </c>
      <c r="E36" s="126" t="s">
        <v>3655</v>
      </c>
      <c r="F36" s="126">
        <v>0.55000000000000004</v>
      </c>
      <c r="G36" s="126" t="s">
        <v>3656</v>
      </c>
      <c r="H36" s="126" t="s">
        <v>3509</v>
      </c>
      <c r="I36" s="126" t="s">
        <v>3657</v>
      </c>
      <c r="J36" s="126" t="s">
        <v>3658</v>
      </c>
      <c r="K36" s="126" t="s">
        <v>3659</v>
      </c>
      <c r="L36" s="126" t="s">
        <v>3490</v>
      </c>
      <c r="M36" s="356" t="s">
        <v>3448</v>
      </c>
      <c r="N36" s="126" t="s">
        <v>3643</v>
      </c>
      <c r="O36" s="126" t="s">
        <v>3418</v>
      </c>
      <c r="P36" s="357" t="s">
        <v>3250</v>
      </c>
    </row>
    <row r="37" spans="1:16" ht="15.5">
      <c r="A37" s="358" t="s">
        <v>3015</v>
      </c>
      <c r="B37" s="359">
        <v>14</v>
      </c>
      <c r="C37" s="359" t="s">
        <v>3481</v>
      </c>
      <c r="D37" s="359" t="s">
        <v>3660</v>
      </c>
      <c r="E37" s="359" t="s">
        <v>3661</v>
      </c>
      <c r="F37" s="359">
        <v>0.72</v>
      </c>
      <c r="G37" s="359" t="s">
        <v>3662</v>
      </c>
      <c r="H37" s="359" t="s">
        <v>3464</v>
      </c>
      <c r="I37" s="359" t="s">
        <v>3663</v>
      </c>
      <c r="J37" s="359" t="s">
        <v>3664</v>
      </c>
      <c r="K37" s="359" t="s">
        <v>3665</v>
      </c>
      <c r="L37" s="359" t="s">
        <v>3531</v>
      </c>
      <c r="M37" s="360" t="s">
        <v>3666</v>
      </c>
      <c r="N37" s="359" t="s">
        <v>2885</v>
      </c>
      <c r="O37" s="359" t="s">
        <v>3575</v>
      </c>
      <c r="P37" s="361" t="s">
        <v>3552</v>
      </c>
    </row>
    <row r="38" spans="1:16" ht="15.5">
      <c r="A38" s="355" t="s">
        <v>3020</v>
      </c>
      <c r="B38" s="126">
        <v>31</v>
      </c>
      <c r="C38" s="126" t="s">
        <v>3130</v>
      </c>
      <c r="D38" s="126" t="s">
        <v>3667</v>
      </c>
      <c r="E38" s="126" t="s">
        <v>3573</v>
      </c>
      <c r="F38" s="126">
        <v>0.82</v>
      </c>
      <c r="G38" s="126" t="s">
        <v>3668</v>
      </c>
      <c r="H38" s="126" t="s">
        <v>3562</v>
      </c>
      <c r="I38" s="126" t="s">
        <v>3669</v>
      </c>
      <c r="J38" s="126" t="s">
        <v>3670</v>
      </c>
      <c r="K38" s="126" t="s">
        <v>3671</v>
      </c>
      <c r="L38" s="126" t="s">
        <v>3552</v>
      </c>
      <c r="M38" s="356" t="s">
        <v>3529</v>
      </c>
      <c r="N38" s="126" t="s">
        <v>3104</v>
      </c>
      <c r="O38" s="126" t="s">
        <v>3114</v>
      </c>
      <c r="P38" s="357" t="s">
        <v>3231</v>
      </c>
    </row>
    <row r="39" spans="1:16" ht="15.5">
      <c r="A39" s="358" t="s">
        <v>3024</v>
      </c>
      <c r="B39" s="359">
        <v>17</v>
      </c>
      <c r="C39" s="359" t="s">
        <v>3130</v>
      </c>
      <c r="D39" s="359" t="s">
        <v>3672</v>
      </c>
      <c r="E39" s="359" t="s">
        <v>3673</v>
      </c>
      <c r="F39" s="130">
        <v>0.54</v>
      </c>
      <c r="G39" s="359" t="s">
        <v>3674</v>
      </c>
      <c r="H39" s="359" t="s">
        <v>3462</v>
      </c>
      <c r="I39" s="359" t="s">
        <v>3675</v>
      </c>
      <c r="J39" s="359" t="s">
        <v>3676</v>
      </c>
      <c r="K39" s="359" t="s">
        <v>3677</v>
      </c>
      <c r="L39" s="359" t="s">
        <v>3463</v>
      </c>
      <c r="M39" s="360" t="s">
        <v>3501</v>
      </c>
      <c r="N39" s="359" t="s">
        <v>2971</v>
      </c>
      <c r="O39" s="359" t="s">
        <v>3231</v>
      </c>
      <c r="P39" s="361" t="s">
        <v>3486</v>
      </c>
    </row>
    <row r="40" spans="1:16" ht="15.5">
      <c r="A40" s="355" t="s">
        <v>3028</v>
      </c>
      <c r="B40" s="126">
        <v>230</v>
      </c>
      <c r="C40" s="126" t="s">
        <v>3135</v>
      </c>
      <c r="D40" s="126" t="s">
        <v>3678</v>
      </c>
      <c r="E40" s="126" t="s">
        <v>3679</v>
      </c>
      <c r="F40" s="126">
        <v>0.97</v>
      </c>
      <c r="G40" s="126" t="s">
        <v>3680</v>
      </c>
      <c r="H40" s="126" t="s">
        <v>2895</v>
      </c>
      <c r="I40" s="126" t="s">
        <v>3681</v>
      </c>
      <c r="J40" s="126" t="s">
        <v>3682</v>
      </c>
      <c r="K40" s="126" t="s">
        <v>3683</v>
      </c>
      <c r="L40" s="126" t="s">
        <v>3095</v>
      </c>
      <c r="M40" s="356" t="s">
        <v>3666</v>
      </c>
      <c r="N40" s="126" t="s">
        <v>3426</v>
      </c>
      <c r="O40" s="126" t="s">
        <v>2971</v>
      </c>
      <c r="P40" s="357" t="s">
        <v>3441</v>
      </c>
    </row>
    <row r="41" spans="1:16" ht="15.5">
      <c r="A41" s="358" t="s">
        <v>3032</v>
      </c>
      <c r="B41" s="359">
        <v>119</v>
      </c>
      <c r="C41" s="359" t="s">
        <v>3224</v>
      </c>
      <c r="D41" s="359" t="s">
        <v>3684</v>
      </c>
      <c r="E41" s="359" t="s">
        <v>3685</v>
      </c>
      <c r="F41" s="359">
        <v>0.86</v>
      </c>
      <c r="G41" s="359" t="s">
        <v>3686</v>
      </c>
      <c r="H41" s="359" t="s">
        <v>3066</v>
      </c>
      <c r="I41" s="359" t="s">
        <v>3687</v>
      </c>
      <c r="J41" s="359" t="s">
        <v>3688</v>
      </c>
      <c r="K41" s="359" t="s">
        <v>3689</v>
      </c>
      <c r="L41" s="359" t="s">
        <v>3114</v>
      </c>
      <c r="M41" s="360" t="s">
        <v>3464</v>
      </c>
      <c r="N41" s="359" t="s">
        <v>3114</v>
      </c>
      <c r="O41" s="359" t="s">
        <v>3419</v>
      </c>
      <c r="P41" s="361" t="s">
        <v>3417</v>
      </c>
    </row>
    <row r="42" spans="1:16" ht="15.5">
      <c r="A42" s="355" t="s">
        <v>3690</v>
      </c>
      <c r="B42" s="126">
        <v>128</v>
      </c>
      <c r="C42" s="126" t="s">
        <v>2966</v>
      </c>
      <c r="D42" s="126" t="s">
        <v>3691</v>
      </c>
      <c r="E42" s="126" t="s">
        <v>3692</v>
      </c>
      <c r="F42" s="126">
        <v>1.1399999999999999</v>
      </c>
      <c r="G42" s="126" t="s">
        <v>3693</v>
      </c>
      <c r="H42" s="126" t="s">
        <v>3435</v>
      </c>
      <c r="I42" s="126" t="s">
        <v>3694</v>
      </c>
      <c r="J42" s="126" t="s">
        <v>3695</v>
      </c>
      <c r="K42" s="126" t="s">
        <v>3696</v>
      </c>
      <c r="L42" s="126" t="s">
        <v>3253</v>
      </c>
      <c r="M42" s="356" t="s">
        <v>3697</v>
      </c>
      <c r="N42" s="126" t="s">
        <v>3426</v>
      </c>
      <c r="O42" s="126" t="s">
        <v>3410</v>
      </c>
      <c r="P42" s="357" t="s">
        <v>3419</v>
      </c>
    </row>
    <row r="43" spans="1:16" ht="15.5">
      <c r="A43" s="358" t="s">
        <v>3040</v>
      </c>
      <c r="B43" s="359">
        <v>32</v>
      </c>
      <c r="C43" s="359" t="s">
        <v>3410</v>
      </c>
      <c r="D43" s="359" t="s">
        <v>3698</v>
      </c>
      <c r="E43" s="359" t="s">
        <v>3699</v>
      </c>
      <c r="F43" s="359">
        <v>1.22</v>
      </c>
      <c r="G43" s="359" t="s">
        <v>3700</v>
      </c>
      <c r="H43" s="359" t="s">
        <v>3147</v>
      </c>
      <c r="I43" s="359" t="s">
        <v>3701</v>
      </c>
      <c r="J43" s="359" t="s">
        <v>3702</v>
      </c>
      <c r="K43" s="359" t="s">
        <v>3703</v>
      </c>
      <c r="L43" s="359" t="s">
        <v>3531</v>
      </c>
      <c r="M43" s="360" t="s">
        <v>3206</v>
      </c>
      <c r="N43" s="359" t="s">
        <v>2976</v>
      </c>
      <c r="O43" s="359" t="s">
        <v>3206</v>
      </c>
      <c r="P43" s="361" t="s">
        <v>2928</v>
      </c>
    </row>
    <row r="44" spans="1:16" ht="15.5">
      <c r="A44" s="355" t="s">
        <v>3045</v>
      </c>
      <c r="B44" s="126">
        <v>32</v>
      </c>
      <c r="C44" s="126" t="s">
        <v>3231</v>
      </c>
      <c r="D44" s="126" t="s">
        <v>3704</v>
      </c>
      <c r="E44" s="126" t="s">
        <v>3705</v>
      </c>
      <c r="F44" s="126">
        <v>0.55000000000000004</v>
      </c>
      <c r="G44" s="126" t="s">
        <v>3574</v>
      </c>
      <c r="H44" s="126" t="s">
        <v>3462</v>
      </c>
      <c r="I44" s="126" t="s">
        <v>3706</v>
      </c>
      <c r="J44" s="126" t="s">
        <v>3707</v>
      </c>
      <c r="K44" s="126" t="s">
        <v>3708</v>
      </c>
      <c r="L44" s="126" t="s">
        <v>3643</v>
      </c>
      <c r="M44" s="356" t="s">
        <v>3666</v>
      </c>
      <c r="N44" s="126" t="s">
        <v>3441</v>
      </c>
      <c r="O44" s="126" t="s">
        <v>3485</v>
      </c>
      <c r="P44" s="357" t="s">
        <v>3122</v>
      </c>
    </row>
    <row r="45" spans="1:16" ht="15.5">
      <c r="A45" s="358" t="s">
        <v>3047</v>
      </c>
      <c r="B45" s="359">
        <v>68</v>
      </c>
      <c r="C45" s="359" t="s">
        <v>3221</v>
      </c>
      <c r="D45" s="359" t="s">
        <v>3709</v>
      </c>
      <c r="E45" s="359" t="s">
        <v>3710</v>
      </c>
      <c r="F45" s="359">
        <v>0.98</v>
      </c>
      <c r="G45" s="359" t="s">
        <v>3711</v>
      </c>
      <c r="H45" s="359" t="s">
        <v>3427</v>
      </c>
      <c r="I45" s="359" t="s">
        <v>3712</v>
      </c>
      <c r="J45" s="359" t="s">
        <v>3713</v>
      </c>
      <c r="K45" s="359" t="s">
        <v>3714</v>
      </c>
      <c r="L45" s="359" t="s">
        <v>3426</v>
      </c>
      <c r="M45" s="360" t="s">
        <v>3435</v>
      </c>
      <c r="N45" s="359" t="s">
        <v>3715</v>
      </c>
      <c r="O45" s="359" t="s">
        <v>3135</v>
      </c>
      <c r="P45" s="361" t="s">
        <v>3477</v>
      </c>
    </row>
    <row r="46" spans="1:16" ht="15.5">
      <c r="A46" s="355" t="s">
        <v>3051</v>
      </c>
      <c r="B46" s="126">
        <v>19</v>
      </c>
      <c r="C46" s="126" t="s">
        <v>3529</v>
      </c>
      <c r="D46" s="126" t="s">
        <v>3716</v>
      </c>
      <c r="E46" s="126" t="s">
        <v>3717</v>
      </c>
      <c r="F46" s="126">
        <v>0.7</v>
      </c>
      <c r="G46" s="126" t="s">
        <v>3718</v>
      </c>
      <c r="H46" s="126" t="s">
        <v>3485</v>
      </c>
      <c r="I46" s="126" t="s">
        <v>3719</v>
      </c>
      <c r="J46" s="126" t="s">
        <v>3720</v>
      </c>
      <c r="K46" s="126" t="s">
        <v>3721</v>
      </c>
      <c r="L46" s="126" t="s">
        <v>3066</v>
      </c>
      <c r="M46" s="356" t="s">
        <v>3501</v>
      </c>
      <c r="N46" s="126" t="s">
        <v>3011</v>
      </c>
      <c r="O46" s="126" t="s">
        <v>3135</v>
      </c>
      <c r="P46" s="357" t="s">
        <v>3562</v>
      </c>
    </row>
    <row r="47" spans="1:16" ht="15.5">
      <c r="A47" s="358" t="s">
        <v>3055</v>
      </c>
      <c r="B47" s="359">
        <v>18</v>
      </c>
      <c r="C47" s="359" t="s">
        <v>3417</v>
      </c>
      <c r="D47" s="359" t="s">
        <v>3722</v>
      </c>
      <c r="E47" s="359" t="s">
        <v>3723</v>
      </c>
      <c r="F47" s="359">
        <v>0.73</v>
      </c>
      <c r="G47" s="359" t="s">
        <v>3724</v>
      </c>
      <c r="H47" s="359" t="s">
        <v>3418</v>
      </c>
      <c r="I47" s="359" t="s">
        <v>3725</v>
      </c>
      <c r="J47" s="359" t="s">
        <v>3726</v>
      </c>
      <c r="K47" s="359" t="s">
        <v>3727</v>
      </c>
      <c r="L47" s="359" t="s">
        <v>3224</v>
      </c>
      <c r="M47" s="360" t="s">
        <v>3481</v>
      </c>
      <c r="N47" s="359" t="s">
        <v>2908</v>
      </c>
      <c r="O47" s="359" t="s">
        <v>3206</v>
      </c>
      <c r="P47" s="361" t="s">
        <v>3135</v>
      </c>
    </row>
    <row r="48" spans="1:16" ht="15.5">
      <c r="A48" s="355" t="s">
        <v>3060</v>
      </c>
      <c r="B48" s="126">
        <v>21</v>
      </c>
      <c r="C48" s="126" t="s">
        <v>3224</v>
      </c>
      <c r="D48" s="126" t="s">
        <v>3728</v>
      </c>
      <c r="E48" s="126" t="s">
        <v>3729</v>
      </c>
      <c r="F48" s="126">
        <v>0.86</v>
      </c>
      <c r="G48" s="126" t="s">
        <v>3730</v>
      </c>
      <c r="H48" s="126" t="s">
        <v>3006</v>
      </c>
      <c r="I48" s="126" t="s">
        <v>3731</v>
      </c>
      <c r="J48" s="126" t="s">
        <v>3732</v>
      </c>
      <c r="K48" s="126" t="s">
        <v>3733</v>
      </c>
      <c r="L48" s="126" t="s">
        <v>3463</v>
      </c>
      <c r="M48" s="356" t="s">
        <v>3462</v>
      </c>
      <c r="N48" s="126" t="s">
        <v>3500</v>
      </c>
      <c r="O48" s="126" t="s">
        <v>3224</v>
      </c>
      <c r="P48" s="357" t="s">
        <v>3529</v>
      </c>
    </row>
    <row r="49" spans="1:16" ht="15.5">
      <c r="A49" s="358" t="s">
        <v>3065</v>
      </c>
      <c r="B49" s="359">
        <v>23</v>
      </c>
      <c r="C49" s="359" t="s">
        <v>3418</v>
      </c>
      <c r="D49" s="359" t="s">
        <v>3734</v>
      </c>
      <c r="E49" s="359" t="s">
        <v>3735</v>
      </c>
      <c r="F49" s="359">
        <v>0.45</v>
      </c>
      <c r="G49" s="359" t="s">
        <v>3736</v>
      </c>
      <c r="H49" s="359" t="s">
        <v>3737</v>
      </c>
      <c r="I49" s="359" t="s">
        <v>3738</v>
      </c>
      <c r="J49" s="359" t="s">
        <v>3739</v>
      </c>
      <c r="K49" s="359" t="s">
        <v>3740</v>
      </c>
      <c r="L49" s="359" t="s">
        <v>3122</v>
      </c>
      <c r="M49" s="360" t="s">
        <v>3250</v>
      </c>
      <c r="N49" s="359" t="s">
        <v>3231</v>
      </c>
      <c r="O49" s="359" t="s">
        <v>3176</v>
      </c>
      <c r="P49" s="361" t="s">
        <v>3434</v>
      </c>
    </row>
    <row r="50" spans="1:16" ht="15.5">
      <c r="A50" s="355" t="s">
        <v>3070</v>
      </c>
      <c r="B50" s="126">
        <v>50</v>
      </c>
      <c r="C50" s="126" t="s">
        <v>3464</v>
      </c>
      <c r="D50" s="126" t="s">
        <v>3741</v>
      </c>
      <c r="E50" s="126" t="s">
        <v>3742</v>
      </c>
      <c r="F50" s="126">
        <v>0.64</v>
      </c>
      <c r="G50" s="126" t="s">
        <v>3743</v>
      </c>
      <c r="H50" s="126" t="s">
        <v>3501</v>
      </c>
      <c r="I50" s="126" t="s">
        <v>3744</v>
      </c>
      <c r="J50" s="126" t="s">
        <v>3745</v>
      </c>
      <c r="K50" s="126" t="s">
        <v>3746</v>
      </c>
      <c r="L50" s="126" t="s">
        <v>3463</v>
      </c>
      <c r="M50" s="356" t="s">
        <v>3747</v>
      </c>
      <c r="N50" s="126" t="s">
        <v>3529</v>
      </c>
      <c r="O50" s="126" t="s">
        <v>3122</v>
      </c>
      <c r="P50" s="357" t="s">
        <v>3176</v>
      </c>
    </row>
    <row r="51" spans="1:16" ht="15.5">
      <c r="A51" s="358" t="s">
        <v>3075</v>
      </c>
      <c r="B51" s="359">
        <v>334</v>
      </c>
      <c r="C51" s="359" t="s">
        <v>3466</v>
      </c>
      <c r="D51" s="359" t="s">
        <v>3748</v>
      </c>
      <c r="E51" s="359" t="s">
        <v>3749</v>
      </c>
      <c r="F51" s="359">
        <v>0.35</v>
      </c>
      <c r="G51" s="359" t="s">
        <v>3750</v>
      </c>
      <c r="H51" s="359" t="s">
        <v>3751</v>
      </c>
      <c r="I51" s="359" t="s">
        <v>3752</v>
      </c>
      <c r="J51" s="359" t="s">
        <v>3753</v>
      </c>
      <c r="K51" s="359" t="s">
        <v>3754</v>
      </c>
      <c r="L51" s="359" t="s">
        <v>3562</v>
      </c>
      <c r="M51" s="360" t="s">
        <v>3529</v>
      </c>
      <c r="N51" s="359" t="s">
        <v>3481</v>
      </c>
      <c r="O51" s="359" t="s">
        <v>3737</v>
      </c>
      <c r="P51" s="361" t="s">
        <v>3465</v>
      </c>
    </row>
    <row r="52" spans="1:16" ht="15.5">
      <c r="A52" s="355" t="s">
        <v>3080</v>
      </c>
      <c r="B52" s="126">
        <v>103</v>
      </c>
      <c r="C52" s="126" t="s">
        <v>3224</v>
      </c>
      <c r="D52" s="126" t="s">
        <v>3755</v>
      </c>
      <c r="E52" s="126" t="s">
        <v>3756</v>
      </c>
      <c r="F52" s="126">
        <v>0.91</v>
      </c>
      <c r="G52" s="126" t="s">
        <v>3757</v>
      </c>
      <c r="H52" s="126" t="s">
        <v>3066</v>
      </c>
      <c r="I52" s="126" t="s">
        <v>3758</v>
      </c>
      <c r="J52" s="126" t="s">
        <v>3759</v>
      </c>
      <c r="K52" s="126" t="s">
        <v>3760</v>
      </c>
      <c r="L52" s="126" t="s">
        <v>2971</v>
      </c>
      <c r="M52" s="356" t="s">
        <v>3441</v>
      </c>
      <c r="N52" s="126" t="s">
        <v>3090</v>
      </c>
      <c r="O52" s="126" t="s">
        <v>3455</v>
      </c>
      <c r="P52" s="357" t="s">
        <v>3427</v>
      </c>
    </row>
    <row r="53" spans="1:16" ht="15.5">
      <c r="A53" s="358" t="s">
        <v>3085</v>
      </c>
      <c r="B53" s="359">
        <v>68</v>
      </c>
      <c r="C53" s="359" t="s">
        <v>3441</v>
      </c>
      <c r="D53" s="359" t="s">
        <v>3761</v>
      </c>
      <c r="E53" s="359" t="s">
        <v>3762</v>
      </c>
      <c r="F53" s="359">
        <v>0.86</v>
      </c>
      <c r="G53" s="359" t="s">
        <v>3763</v>
      </c>
      <c r="H53" s="359" t="s">
        <v>3426</v>
      </c>
      <c r="I53" s="359" t="s">
        <v>3764</v>
      </c>
      <c r="J53" s="359" t="s">
        <v>3765</v>
      </c>
      <c r="K53" s="359" t="s">
        <v>3766</v>
      </c>
      <c r="L53" s="359" t="s">
        <v>3455</v>
      </c>
      <c r="M53" s="360" t="s">
        <v>3552</v>
      </c>
      <c r="N53" s="359" t="s">
        <v>3477</v>
      </c>
      <c r="O53" s="359" t="s">
        <v>3081</v>
      </c>
      <c r="P53" s="361" t="s">
        <v>3224</v>
      </c>
    </row>
    <row r="54" spans="1:16" ht="15.5">
      <c r="A54" s="355" t="s">
        <v>3089</v>
      </c>
      <c r="B54" s="126">
        <v>17</v>
      </c>
      <c r="C54" s="126" t="s">
        <v>3001</v>
      </c>
      <c r="D54" s="126" t="s">
        <v>3767</v>
      </c>
      <c r="E54" s="126" t="s">
        <v>3487</v>
      </c>
      <c r="F54" s="126">
        <v>0.82</v>
      </c>
      <c r="G54" s="126" t="s">
        <v>3768</v>
      </c>
      <c r="H54" s="126" t="s">
        <v>3231</v>
      </c>
      <c r="I54" s="126" t="s">
        <v>3769</v>
      </c>
      <c r="J54" s="126" t="s">
        <v>3770</v>
      </c>
      <c r="K54" s="126" t="s">
        <v>3771</v>
      </c>
      <c r="L54" s="126" t="s">
        <v>2962</v>
      </c>
      <c r="M54" s="356" t="s">
        <v>3155</v>
      </c>
      <c r="N54" s="126" t="s">
        <v>3130</v>
      </c>
      <c r="O54" s="126" t="s">
        <v>3191</v>
      </c>
      <c r="P54" s="357" t="s">
        <v>3095</v>
      </c>
    </row>
    <row r="55" spans="1:16" ht="15.5">
      <c r="A55" s="358" t="s">
        <v>3094</v>
      </c>
      <c r="B55" s="359">
        <v>4</v>
      </c>
      <c r="C55" s="359" t="s">
        <v>3176</v>
      </c>
      <c r="D55" s="359" t="s">
        <v>3772</v>
      </c>
      <c r="E55" s="359" t="s">
        <v>3773</v>
      </c>
      <c r="F55" s="359">
        <v>0.61</v>
      </c>
      <c r="G55" s="359" t="s">
        <v>3774</v>
      </c>
      <c r="H55" s="359" t="s">
        <v>3250</v>
      </c>
      <c r="I55" s="359" t="s">
        <v>3775</v>
      </c>
      <c r="J55" s="359" t="s">
        <v>3776</v>
      </c>
      <c r="K55" s="359" t="s">
        <v>3777</v>
      </c>
      <c r="L55" s="359" t="s">
        <v>3016</v>
      </c>
      <c r="M55" s="360" t="s">
        <v>3095</v>
      </c>
      <c r="N55" s="359" t="s">
        <v>2928</v>
      </c>
      <c r="O55" s="359" t="s">
        <v>3114</v>
      </c>
      <c r="P55" s="361" t="s">
        <v>3104</v>
      </c>
    </row>
    <row r="56" spans="1:16" ht="15.5">
      <c r="A56" s="355" t="s">
        <v>3778</v>
      </c>
      <c r="B56" s="126">
        <v>166</v>
      </c>
      <c r="C56" s="126" t="s">
        <v>3417</v>
      </c>
      <c r="D56" s="126" t="s">
        <v>3779</v>
      </c>
      <c r="E56" s="126" t="s">
        <v>3780</v>
      </c>
      <c r="F56" s="126">
        <v>0.79</v>
      </c>
      <c r="G56" s="126" t="s">
        <v>3781</v>
      </c>
      <c r="H56" s="126" t="s">
        <v>3552</v>
      </c>
      <c r="I56" s="126" t="s">
        <v>3782</v>
      </c>
      <c r="J56" s="126" t="s">
        <v>3783</v>
      </c>
      <c r="K56" s="126" t="s">
        <v>3784</v>
      </c>
      <c r="L56" s="126" t="s">
        <v>2885</v>
      </c>
      <c r="M56" s="356" t="s">
        <v>3500</v>
      </c>
      <c r="N56" s="126" t="s">
        <v>3477</v>
      </c>
      <c r="O56" s="126" t="s">
        <v>3001</v>
      </c>
      <c r="P56" s="357" t="s">
        <v>3104</v>
      </c>
    </row>
    <row r="57" spans="1:16" ht="15.5">
      <c r="A57" s="358" t="s">
        <v>3103</v>
      </c>
      <c r="B57" s="359">
        <v>24</v>
      </c>
      <c r="C57" s="359" t="s">
        <v>3144</v>
      </c>
      <c r="D57" s="359" t="s">
        <v>3785</v>
      </c>
      <c r="E57" s="359" t="s">
        <v>3786</v>
      </c>
      <c r="F57" s="359">
        <v>0.52</v>
      </c>
      <c r="G57" s="359" t="s">
        <v>3787</v>
      </c>
      <c r="H57" s="359" t="s">
        <v>3448</v>
      </c>
      <c r="I57" s="359" t="s">
        <v>3788</v>
      </c>
      <c r="J57" s="359" t="s">
        <v>3789</v>
      </c>
      <c r="K57" s="359" t="s">
        <v>3790</v>
      </c>
      <c r="L57" s="359" t="s">
        <v>3076</v>
      </c>
      <c r="M57" s="360" t="s">
        <v>3474</v>
      </c>
      <c r="N57" s="359" t="s">
        <v>3562</v>
      </c>
      <c r="O57" s="359" t="s">
        <v>3531</v>
      </c>
      <c r="P57" s="361" t="s">
        <v>3499</v>
      </c>
    </row>
    <row r="58" spans="1:16" ht="15.5">
      <c r="A58" s="355" t="s">
        <v>3108</v>
      </c>
      <c r="B58" s="126">
        <v>100</v>
      </c>
      <c r="C58" s="126" t="s">
        <v>3095</v>
      </c>
      <c r="D58" s="126" t="s">
        <v>3791</v>
      </c>
      <c r="E58" s="126" t="s">
        <v>3792</v>
      </c>
      <c r="F58" s="126">
        <v>0.79</v>
      </c>
      <c r="G58" s="126" t="s">
        <v>3793</v>
      </c>
      <c r="H58" s="126" t="s">
        <v>3575</v>
      </c>
      <c r="I58" s="126" t="s">
        <v>3794</v>
      </c>
      <c r="J58" s="126" t="s">
        <v>3795</v>
      </c>
      <c r="K58" s="126" t="s">
        <v>3796</v>
      </c>
      <c r="L58" s="126" t="s">
        <v>3081</v>
      </c>
      <c r="M58" s="356" t="s">
        <v>3155</v>
      </c>
      <c r="N58" s="126" t="s">
        <v>3090</v>
      </c>
      <c r="O58" s="126" t="s">
        <v>3435</v>
      </c>
      <c r="P58" s="357" t="s">
        <v>3427</v>
      </c>
    </row>
    <row r="59" spans="1:16" ht="15.5">
      <c r="A59" s="358" t="s">
        <v>3113</v>
      </c>
      <c r="B59" s="359">
        <v>11</v>
      </c>
      <c r="C59" s="359" t="s">
        <v>3535</v>
      </c>
      <c r="D59" s="359" t="s">
        <v>3797</v>
      </c>
      <c r="E59" s="359" t="s">
        <v>3798</v>
      </c>
      <c r="F59" s="359">
        <v>0.56000000000000005</v>
      </c>
      <c r="G59" s="359" t="s">
        <v>3799</v>
      </c>
      <c r="H59" s="359" t="s">
        <v>3463</v>
      </c>
      <c r="I59" s="359" t="s">
        <v>3800</v>
      </c>
      <c r="J59" s="359" t="s">
        <v>3801</v>
      </c>
      <c r="K59" s="359" t="s">
        <v>3802</v>
      </c>
      <c r="L59" s="359" t="s">
        <v>3501</v>
      </c>
      <c r="M59" s="360" t="s">
        <v>3501</v>
      </c>
      <c r="N59" s="359" t="s">
        <v>3529</v>
      </c>
      <c r="O59" s="359" t="s">
        <v>3176</v>
      </c>
      <c r="P59" s="361" t="s">
        <v>3501</v>
      </c>
    </row>
    <row r="60" spans="1:16" ht="15.5">
      <c r="A60" s="355" t="s">
        <v>3118</v>
      </c>
      <c r="B60" s="126">
        <v>7</v>
      </c>
      <c r="C60" s="126" t="s">
        <v>3803</v>
      </c>
      <c r="D60" s="126" t="s">
        <v>3804</v>
      </c>
      <c r="E60" s="126" t="s">
        <v>3805</v>
      </c>
      <c r="F60" s="126">
        <v>1.51</v>
      </c>
      <c r="G60" s="126" t="s">
        <v>3774</v>
      </c>
      <c r="H60" s="126" t="s">
        <v>2976</v>
      </c>
      <c r="I60" s="126" t="s">
        <v>3806</v>
      </c>
      <c r="J60" s="126" t="s">
        <v>3807</v>
      </c>
      <c r="K60" s="126" t="s">
        <v>3808</v>
      </c>
      <c r="L60" s="126" t="s">
        <v>2928</v>
      </c>
      <c r="M60" s="356" t="s">
        <v>3441</v>
      </c>
      <c r="N60" s="126" t="s">
        <v>3553</v>
      </c>
      <c r="O60" s="126" t="s">
        <v>3477</v>
      </c>
      <c r="P60" s="357" t="s">
        <v>3435</v>
      </c>
    </row>
    <row r="61" spans="1:16" ht="15.5">
      <c r="A61" s="358" t="s">
        <v>3121</v>
      </c>
      <c r="B61" s="359">
        <v>50</v>
      </c>
      <c r="C61" s="359" t="s">
        <v>3499</v>
      </c>
      <c r="D61" s="359" t="s">
        <v>3809</v>
      </c>
      <c r="E61" s="359" t="s">
        <v>3729</v>
      </c>
      <c r="F61" s="359">
        <v>0.38</v>
      </c>
      <c r="G61" s="359" t="s">
        <v>3810</v>
      </c>
      <c r="H61" s="359" t="s">
        <v>3751</v>
      </c>
      <c r="I61" s="359" t="s">
        <v>3811</v>
      </c>
      <c r="J61" s="359" t="s">
        <v>3812</v>
      </c>
      <c r="K61" s="359" t="s">
        <v>3438</v>
      </c>
      <c r="L61" s="359" t="s">
        <v>3813</v>
      </c>
      <c r="M61" s="360" t="s">
        <v>3473</v>
      </c>
      <c r="N61" s="359" t="s">
        <v>3462</v>
      </c>
      <c r="O61" s="359" t="s">
        <v>3466</v>
      </c>
      <c r="P61" s="361" t="s">
        <v>3814</v>
      </c>
    </row>
    <row r="62" spans="1:16" ht="15.5">
      <c r="A62" s="355" t="s">
        <v>3125</v>
      </c>
      <c r="B62" s="126">
        <v>61</v>
      </c>
      <c r="C62" s="126" t="s">
        <v>3535</v>
      </c>
      <c r="D62" s="126" t="s">
        <v>3815</v>
      </c>
      <c r="E62" s="126" t="s">
        <v>3816</v>
      </c>
      <c r="F62" s="126">
        <v>0.78</v>
      </c>
      <c r="G62" s="126" t="s">
        <v>3817</v>
      </c>
      <c r="H62" s="126" t="s">
        <v>3155</v>
      </c>
      <c r="I62" s="126" t="s">
        <v>3818</v>
      </c>
      <c r="J62" s="126" t="s">
        <v>3819</v>
      </c>
      <c r="K62" s="126" t="s">
        <v>3820</v>
      </c>
      <c r="L62" s="126" t="s">
        <v>3206</v>
      </c>
      <c r="M62" s="356" t="s">
        <v>3697</v>
      </c>
      <c r="N62" s="126" t="s">
        <v>3104</v>
      </c>
      <c r="O62" s="126" t="s">
        <v>3435</v>
      </c>
      <c r="P62" s="357" t="s">
        <v>2997</v>
      </c>
    </row>
    <row r="63" spans="1:16" ht="15.5">
      <c r="A63" s="358" t="s">
        <v>3129</v>
      </c>
      <c r="B63" s="359">
        <v>13</v>
      </c>
      <c r="C63" s="359" t="s">
        <v>3011</v>
      </c>
      <c r="D63" s="359" t="s">
        <v>3821</v>
      </c>
      <c r="E63" s="359" t="s">
        <v>3822</v>
      </c>
      <c r="F63" s="359">
        <v>0.76</v>
      </c>
      <c r="G63" s="359" t="s">
        <v>3823</v>
      </c>
      <c r="H63" s="359" t="s">
        <v>3500</v>
      </c>
      <c r="I63" s="359" t="s">
        <v>3824</v>
      </c>
      <c r="J63" s="359" t="s">
        <v>3442</v>
      </c>
      <c r="K63" s="359" t="s">
        <v>3825</v>
      </c>
      <c r="L63" s="359" t="s">
        <v>3486</v>
      </c>
      <c r="M63" s="360" t="s">
        <v>3826</v>
      </c>
      <c r="N63" s="359" t="s">
        <v>3048</v>
      </c>
      <c r="O63" s="359" t="s">
        <v>3426</v>
      </c>
      <c r="P63" s="361" t="s">
        <v>2895</v>
      </c>
    </row>
    <row r="64" spans="1:16" ht="15.5">
      <c r="A64" s="355" t="s">
        <v>3134</v>
      </c>
      <c r="B64" s="126">
        <v>181</v>
      </c>
      <c r="C64" s="126" t="s">
        <v>2997</v>
      </c>
      <c r="D64" s="126" t="s">
        <v>3827</v>
      </c>
      <c r="E64" s="126" t="s">
        <v>3828</v>
      </c>
      <c r="F64" s="126">
        <v>0.64</v>
      </c>
      <c r="G64" s="126" t="s">
        <v>3828</v>
      </c>
      <c r="H64" s="126" t="s">
        <v>3499</v>
      </c>
      <c r="I64" s="126" t="s">
        <v>3829</v>
      </c>
      <c r="J64" s="126" t="s">
        <v>3830</v>
      </c>
      <c r="K64" s="126" t="s">
        <v>3831</v>
      </c>
      <c r="L64" s="126" t="s">
        <v>3473</v>
      </c>
      <c r="M64" s="356" t="s">
        <v>3144</v>
      </c>
      <c r="N64" s="126" t="s">
        <v>3104</v>
      </c>
      <c r="O64" s="126" t="s">
        <v>3434</v>
      </c>
      <c r="P64" s="357" t="s">
        <v>3465</v>
      </c>
    </row>
    <row r="65" spans="1:16" ht="15.5">
      <c r="A65" s="358" t="s">
        <v>3138</v>
      </c>
      <c r="B65" s="359">
        <v>17</v>
      </c>
      <c r="C65" s="359" t="s">
        <v>3176</v>
      </c>
      <c r="D65" s="359" t="s">
        <v>3832</v>
      </c>
      <c r="E65" s="359" t="s">
        <v>3833</v>
      </c>
      <c r="F65" s="359">
        <v>0.39</v>
      </c>
      <c r="G65" s="359" t="s">
        <v>3834</v>
      </c>
      <c r="H65" s="359" t="s">
        <v>3473</v>
      </c>
      <c r="I65" s="359" t="s">
        <v>3835</v>
      </c>
      <c r="J65" s="359" t="s">
        <v>3836</v>
      </c>
      <c r="K65" s="359" t="s">
        <v>3837</v>
      </c>
      <c r="L65" s="359" t="s">
        <v>3006</v>
      </c>
      <c r="M65" s="360" t="s">
        <v>3462</v>
      </c>
      <c r="N65" s="359" t="s">
        <v>3464</v>
      </c>
      <c r="O65" s="359" t="s">
        <v>3231</v>
      </c>
      <c r="P65" s="361" t="s">
        <v>3490</v>
      </c>
    </row>
    <row r="66" spans="1:16" ht="15.5">
      <c r="A66" s="355" t="s">
        <v>3143</v>
      </c>
      <c r="B66" s="126">
        <v>11</v>
      </c>
      <c r="C66" s="126" t="s">
        <v>3462</v>
      </c>
      <c r="D66" s="126" t="s">
        <v>3838</v>
      </c>
      <c r="E66" s="126" t="s">
        <v>3839</v>
      </c>
      <c r="F66" s="126">
        <v>0.45</v>
      </c>
      <c r="G66" s="126" t="s">
        <v>3840</v>
      </c>
      <c r="H66" s="126" t="s">
        <v>3841</v>
      </c>
      <c r="I66" s="126" t="s">
        <v>3842</v>
      </c>
      <c r="J66" s="126" t="s">
        <v>3843</v>
      </c>
      <c r="K66" s="126" t="s">
        <v>3844</v>
      </c>
      <c r="L66" s="126" t="s">
        <v>3041</v>
      </c>
      <c r="M66" s="356" t="s">
        <v>3486</v>
      </c>
      <c r="N66" s="126" t="s">
        <v>3155</v>
      </c>
      <c r="O66" s="126" t="s">
        <v>3531</v>
      </c>
      <c r="P66" s="357" t="s">
        <v>3575</v>
      </c>
    </row>
    <row r="67" spans="1:16" ht="15.5">
      <c r="A67" s="358" t="s">
        <v>3146</v>
      </c>
      <c r="B67" s="359">
        <v>60</v>
      </c>
      <c r="C67" s="359" t="s">
        <v>2885</v>
      </c>
      <c r="D67" s="359" t="s">
        <v>3845</v>
      </c>
      <c r="E67" s="359" t="s">
        <v>3846</v>
      </c>
      <c r="F67" s="359">
        <v>0.81</v>
      </c>
      <c r="G67" s="359" t="s">
        <v>3847</v>
      </c>
      <c r="H67" s="359" t="s">
        <v>3231</v>
      </c>
      <c r="I67" s="359" t="s">
        <v>3848</v>
      </c>
      <c r="J67" s="359" t="s">
        <v>3849</v>
      </c>
      <c r="K67" s="359" t="s">
        <v>3850</v>
      </c>
      <c r="L67" s="359" t="s">
        <v>3501</v>
      </c>
      <c r="M67" s="360" t="s">
        <v>3697</v>
      </c>
      <c r="N67" s="359" t="s">
        <v>3535</v>
      </c>
      <c r="O67" s="359" t="s">
        <v>3500</v>
      </c>
      <c r="P67" s="361" t="s">
        <v>3071</v>
      </c>
    </row>
    <row r="68" spans="1:16" ht="15.5">
      <c r="A68" s="355" t="s">
        <v>3150</v>
      </c>
      <c r="B68" s="126">
        <v>55</v>
      </c>
      <c r="C68" s="126" t="s">
        <v>2918</v>
      </c>
      <c r="D68" s="126" t="s">
        <v>3851</v>
      </c>
      <c r="E68" s="126" t="s">
        <v>3852</v>
      </c>
      <c r="F68" s="126">
        <v>0.81</v>
      </c>
      <c r="G68" s="126" t="s">
        <v>3853</v>
      </c>
      <c r="H68" s="126" t="s">
        <v>3575</v>
      </c>
      <c r="I68" s="126" t="s">
        <v>3556</v>
      </c>
      <c r="J68" s="126" t="s">
        <v>3854</v>
      </c>
      <c r="K68" s="126" t="s">
        <v>3855</v>
      </c>
      <c r="L68" s="126" t="s">
        <v>3697</v>
      </c>
      <c r="M68" s="356" t="s">
        <v>3418</v>
      </c>
      <c r="N68" s="126" t="s">
        <v>3419</v>
      </c>
      <c r="O68" s="126" t="s">
        <v>2885</v>
      </c>
      <c r="P68" s="357" t="s">
        <v>3539</v>
      </c>
    </row>
    <row r="69" spans="1:16" ht="15.5">
      <c r="A69" s="358" t="s">
        <v>3154</v>
      </c>
      <c r="B69" s="359">
        <v>1</v>
      </c>
      <c r="C69" s="359" t="s">
        <v>3531</v>
      </c>
      <c r="D69" s="359" t="s">
        <v>3856</v>
      </c>
      <c r="E69" s="359" t="s">
        <v>3857</v>
      </c>
      <c r="F69" s="359">
        <v>0.5</v>
      </c>
      <c r="G69" s="359" t="s">
        <v>3858</v>
      </c>
      <c r="H69" s="359" t="s">
        <v>3510</v>
      </c>
      <c r="I69" s="359" t="s">
        <v>3859</v>
      </c>
      <c r="J69" s="359" t="s">
        <v>3860</v>
      </c>
      <c r="K69" s="359" t="s">
        <v>3861</v>
      </c>
      <c r="L69" s="359" t="s">
        <v>3418</v>
      </c>
      <c r="M69" s="360" t="s">
        <v>3477</v>
      </c>
      <c r="N69" s="359" t="s">
        <v>2900</v>
      </c>
      <c r="O69" s="359" t="s">
        <v>3155</v>
      </c>
      <c r="P69" s="361" t="s">
        <v>3417</v>
      </c>
    </row>
    <row r="70" spans="1:16" ht="15.5">
      <c r="A70" s="355" t="s">
        <v>3158</v>
      </c>
      <c r="B70" s="126">
        <v>64</v>
      </c>
      <c r="C70" s="126" t="s">
        <v>3435</v>
      </c>
      <c r="D70" s="126" t="s">
        <v>3862</v>
      </c>
      <c r="E70" s="126" t="s">
        <v>3863</v>
      </c>
      <c r="F70" s="126">
        <v>1</v>
      </c>
      <c r="G70" s="126" t="s">
        <v>3864</v>
      </c>
      <c r="H70" s="126" t="s">
        <v>2997</v>
      </c>
      <c r="I70" s="126" t="s">
        <v>3865</v>
      </c>
      <c r="J70" s="126" t="s">
        <v>3866</v>
      </c>
      <c r="K70" s="126" t="s">
        <v>3867</v>
      </c>
      <c r="L70" s="126" t="s">
        <v>3697</v>
      </c>
      <c r="M70" s="356" t="s">
        <v>3130</v>
      </c>
      <c r="N70" s="126" t="s">
        <v>3206</v>
      </c>
      <c r="O70" s="126" t="s">
        <v>2918</v>
      </c>
      <c r="P70" s="357" t="s">
        <v>2885</v>
      </c>
    </row>
    <row r="71" spans="1:16" ht="15.5">
      <c r="A71" s="358" t="s">
        <v>3162</v>
      </c>
      <c r="B71" s="359">
        <v>30</v>
      </c>
      <c r="C71" s="359" t="s">
        <v>3181</v>
      </c>
      <c r="D71" s="359" t="s">
        <v>3868</v>
      </c>
      <c r="E71" s="359" t="s">
        <v>3869</v>
      </c>
      <c r="F71" s="359">
        <v>1.04</v>
      </c>
      <c r="G71" s="359" t="s">
        <v>3870</v>
      </c>
      <c r="H71" s="359" t="s">
        <v>3135</v>
      </c>
      <c r="I71" s="359" t="s">
        <v>3871</v>
      </c>
      <c r="J71" s="359" t="s">
        <v>3872</v>
      </c>
      <c r="K71" s="359" t="s">
        <v>3131</v>
      </c>
      <c r="L71" s="359" t="s">
        <v>3535</v>
      </c>
      <c r="M71" s="360" t="s">
        <v>3104</v>
      </c>
      <c r="N71" s="359" t="s">
        <v>3016</v>
      </c>
      <c r="O71" s="359" t="s">
        <v>2885</v>
      </c>
      <c r="P71" s="361" t="s">
        <v>2997</v>
      </c>
    </row>
    <row r="72" spans="1:16" ht="15.5">
      <c r="A72" s="355" t="s">
        <v>3165</v>
      </c>
      <c r="B72" s="126">
        <v>16</v>
      </c>
      <c r="C72" s="126" t="s">
        <v>3803</v>
      </c>
      <c r="D72" s="126" t="s">
        <v>3873</v>
      </c>
      <c r="E72" s="126" t="s">
        <v>3874</v>
      </c>
      <c r="F72" s="126">
        <v>1.69</v>
      </c>
      <c r="G72" s="126" t="s">
        <v>3875</v>
      </c>
      <c r="H72" s="126" t="s">
        <v>3876</v>
      </c>
      <c r="I72" s="126" t="s">
        <v>3877</v>
      </c>
      <c r="J72" s="126" t="s">
        <v>3878</v>
      </c>
      <c r="K72" s="126" t="s">
        <v>3879</v>
      </c>
      <c r="L72" s="126" t="s">
        <v>3253</v>
      </c>
      <c r="M72" s="356" t="s">
        <v>2887</v>
      </c>
      <c r="N72" s="126" t="s">
        <v>2865</v>
      </c>
      <c r="O72" s="126" t="s">
        <v>2892</v>
      </c>
      <c r="P72" s="357" t="s">
        <v>2925</v>
      </c>
    </row>
    <row r="73" spans="1:16" ht="15.5">
      <c r="A73" s="358" t="s">
        <v>3169</v>
      </c>
      <c r="B73" s="359">
        <v>62</v>
      </c>
      <c r="C73" s="359" t="s">
        <v>3130</v>
      </c>
      <c r="D73" s="359" t="s">
        <v>3880</v>
      </c>
      <c r="E73" s="359" t="s">
        <v>3881</v>
      </c>
      <c r="F73" s="359">
        <v>0.89</v>
      </c>
      <c r="G73" s="359" t="s">
        <v>3882</v>
      </c>
      <c r="H73" s="359" t="s">
        <v>3426</v>
      </c>
      <c r="I73" s="359" t="s">
        <v>3883</v>
      </c>
      <c r="J73" s="359" t="s">
        <v>3884</v>
      </c>
      <c r="K73" s="359" t="s">
        <v>3885</v>
      </c>
      <c r="L73" s="359" t="s">
        <v>3006</v>
      </c>
      <c r="M73" s="360" t="s">
        <v>3697</v>
      </c>
      <c r="N73" s="359" t="s">
        <v>3135</v>
      </c>
      <c r="O73" s="359" t="s">
        <v>2895</v>
      </c>
      <c r="P73" s="361" t="s">
        <v>3011</v>
      </c>
    </row>
    <row r="74" spans="1:16" ht="15.5">
      <c r="A74" s="355" t="s">
        <v>3172</v>
      </c>
      <c r="B74" s="126">
        <v>26</v>
      </c>
      <c r="C74" s="126" t="s">
        <v>2928</v>
      </c>
      <c r="D74" s="126" t="s">
        <v>3886</v>
      </c>
      <c r="E74" s="126" t="s">
        <v>3887</v>
      </c>
      <c r="F74" s="126">
        <v>1.1299999999999999</v>
      </c>
      <c r="G74" s="126" t="s">
        <v>3888</v>
      </c>
      <c r="H74" s="126" t="s">
        <v>2918</v>
      </c>
      <c r="I74" s="126" t="s">
        <v>3889</v>
      </c>
      <c r="J74" s="126" t="s">
        <v>3890</v>
      </c>
      <c r="K74" s="126" t="s">
        <v>3891</v>
      </c>
      <c r="L74" s="126" t="s">
        <v>3114</v>
      </c>
      <c r="M74" s="356" t="s">
        <v>3500</v>
      </c>
      <c r="N74" s="126" t="s">
        <v>2957</v>
      </c>
      <c r="O74" s="126" t="s">
        <v>3081</v>
      </c>
      <c r="P74" s="357" t="s">
        <v>2957</v>
      </c>
    </row>
    <row r="75" spans="1:16" ht="15.5">
      <c r="A75" s="358" t="s">
        <v>3175</v>
      </c>
      <c r="B75" s="359">
        <v>14</v>
      </c>
      <c r="C75" s="359" t="s">
        <v>3892</v>
      </c>
      <c r="D75" s="359" t="s">
        <v>3893</v>
      </c>
      <c r="E75" s="359" t="s">
        <v>3894</v>
      </c>
      <c r="F75" s="359">
        <v>0.35</v>
      </c>
      <c r="G75" s="359" t="s">
        <v>3895</v>
      </c>
      <c r="H75" s="359" t="s">
        <v>3008</v>
      </c>
      <c r="I75" s="359" t="s">
        <v>3896</v>
      </c>
      <c r="J75" s="359" t="s">
        <v>3897</v>
      </c>
      <c r="K75" s="359" t="s">
        <v>3898</v>
      </c>
      <c r="L75" s="359" t="s">
        <v>3899</v>
      </c>
      <c r="M75" s="360" t="s">
        <v>3652</v>
      </c>
      <c r="N75" s="359" t="s">
        <v>3900</v>
      </c>
      <c r="O75" s="359" t="s">
        <v>3901</v>
      </c>
      <c r="P75" s="361" t="s">
        <v>3902</v>
      </c>
    </row>
    <row r="76" spans="1:16" ht="15.5">
      <c r="A76" s="355" t="s">
        <v>3903</v>
      </c>
      <c r="B76" s="126">
        <v>28</v>
      </c>
      <c r="C76" s="126" t="s">
        <v>3016</v>
      </c>
      <c r="D76" s="126" t="s">
        <v>3904</v>
      </c>
      <c r="E76" s="126" t="s">
        <v>3905</v>
      </c>
      <c r="F76" s="126">
        <v>0.78</v>
      </c>
      <c r="G76" s="126" t="s">
        <v>3906</v>
      </c>
      <c r="H76" s="126" t="s">
        <v>3144</v>
      </c>
      <c r="I76" s="126" t="s">
        <v>3907</v>
      </c>
      <c r="J76" s="126" t="s">
        <v>3908</v>
      </c>
      <c r="K76" s="126" t="s">
        <v>3909</v>
      </c>
      <c r="L76" s="126" t="s">
        <v>3029</v>
      </c>
      <c r="M76" s="356" t="s">
        <v>3001</v>
      </c>
      <c r="N76" s="126" t="s">
        <v>3419</v>
      </c>
      <c r="O76" s="126" t="s">
        <v>3116</v>
      </c>
      <c r="P76" s="357" t="s">
        <v>2971</v>
      </c>
    </row>
    <row r="77" spans="1:16" ht="15.5">
      <c r="A77" s="358" t="s">
        <v>3185</v>
      </c>
      <c r="B77" s="359">
        <v>105</v>
      </c>
      <c r="C77" s="359" t="s">
        <v>3090</v>
      </c>
      <c r="D77" s="359" t="s">
        <v>3910</v>
      </c>
      <c r="E77" s="359" t="s">
        <v>3911</v>
      </c>
      <c r="F77" s="359">
        <v>0.93</v>
      </c>
      <c r="G77" s="359" t="s">
        <v>3912</v>
      </c>
      <c r="H77" s="359" t="s">
        <v>3481</v>
      </c>
      <c r="I77" s="359" t="s">
        <v>3913</v>
      </c>
      <c r="J77" s="359" t="s">
        <v>3914</v>
      </c>
      <c r="K77" s="359" t="s">
        <v>3468</v>
      </c>
      <c r="L77" s="359" t="s">
        <v>3434</v>
      </c>
      <c r="M77" s="360" t="s">
        <v>3224</v>
      </c>
      <c r="N77" s="359" t="s">
        <v>3061</v>
      </c>
      <c r="O77" s="359" t="s">
        <v>3435</v>
      </c>
      <c r="P77" s="361" t="s">
        <v>2997</v>
      </c>
    </row>
    <row r="78" spans="1:16" ht="15.5">
      <c r="A78" s="355" t="s">
        <v>3190</v>
      </c>
      <c r="B78" s="126">
        <v>3</v>
      </c>
      <c r="C78" s="126" t="s">
        <v>3176</v>
      </c>
      <c r="D78" s="126" t="s">
        <v>3915</v>
      </c>
      <c r="E78" s="126" t="s">
        <v>3916</v>
      </c>
      <c r="F78" s="126">
        <v>0.24</v>
      </c>
      <c r="G78" s="126" t="s">
        <v>3917</v>
      </c>
      <c r="H78" s="126" t="s">
        <v>3918</v>
      </c>
      <c r="I78" s="126" t="s">
        <v>3919</v>
      </c>
      <c r="J78" s="126" t="s">
        <v>3920</v>
      </c>
      <c r="K78" s="126" t="s">
        <v>3921</v>
      </c>
      <c r="L78" s="126" t="s">
        <v>3922</v>
      </c>
      <c r="M78" s="356" t="s">
        <v>3737</v>
      </c>
      <c r="N78" s="126" t="s">
        <v>3463</v>
      </c>
      <c r="O78" s="126" t="s">
        <v>3923</v>
      </c>
      <c r="P78" s="357" t="s">
        <v>3924</v>
      </c>
    </row>
    <row r="79" spans="1:16" ht="15.5">
      <c r="A79" s="358" t="s">
        <v>3193</v>
      </c>
      <c r="B79" s="359">
        <v>63</v>
      </c>
      <c r="C79" s="359" t="s">
        <v>3041</v>
      </c>
      <c r="D79" s="359" t="s">
        <v>3925</v>
      </c>
      <c r="E79" s="359" t="s">
        <v>3926</v>
      </c>
      <c r="F79" s="359">
        <v>1.43</v>
      </c>
      <c r="G79" s="359" t="s">
        <v>3927</v>
      </c>
      <c r="H79" s="359" t="s">
        <v>3048</v>
      </c>
      <c r="I79" s="359" t="s">
        <v>3928</v>
      </c>
      <c r="J79" s="359" t="s">
        <v>3929</v>
      </c>
      <c r="K79" s="359" t="s">
        <v>3930</v>
      </c>
      <c r="L79" s="359" t="s">
        <v>2962</v>
      </c>
      <c r="M79" s="360" t="s">
        <v>3441</v>
      </c>
      <c r="N79" s="359" t="s">
        <v>3001</v>
      </c>
      <c r="O79" s="359" t="s">
        <v>3931</v>
      </c>
      <c r="P79" s="361" t="s">
        <v>2966</v>
      </c>
    </row>
    <row r="80" spans="1:16" ht="15.5">
      <c r="A80" s="355" t="s">
        <v>3197</v>
      </c>
      <c r="B80" s="126">
        <v>30</v>
      </c>
      <c r="C80" s="126" t="s">
        <v>3931</v>
      </c>
      <c r="D80" s="126" t="s">
        <v>3560</v>
      </c>
      <c r="E80" s="126" t="s">
        <v>3932</v>
      </c>
      <c r="F80" s="126">
        <v>1.44</v>
      </c>
      <c r="G80" s="126" t="s">
        <v>3933</v>
      </c>
      <c r="H80" s="126" t="s">
        <v>3934</v>
      </c>
      <c r="I80" s="126" t="s">
        <v>3935</v>
      </c>
      <c r="J80" s="126" t="s">
        <v>3440</v>
      </c>
      <c r="K80" s="126" t="s">
        <v>3936</v>
      </c>
      <c r="L80" s="126" t="s">
        <v>2928</v>
      </c>
      <c r="M80" s="356" t="s">
        <v>3419</v>
      </c>
      <c r="N80" s="126" t="s">
        <v>3221</v>
      </c>
      <c r="O80" s="126" t="s">
        <v>3937</v>
      </c>
      <c r="P80" s="357" t="s">
        <v>3410</v>
      </c>
    </row>
    <row r="81" spans="1:16" ht="15.5">
      <c r="A81" s="358" t="s">
        <v>3201</v>
      </c>
      <c r="B81" s="359">
        <v>8</v>
      </c>
      <c r="C81" s="359" t="s">
        <v>3500</v>
      </c>
      <c r="D81" s="359" t="s">
        <v>3938</v>
      </c>
      <c r="E81" s="359" t="s">
        <v>3939</v>
      </c>
      <c r="F81" s="359">
        <v>0.66</v>
      </c>
      <c r="G81" s="359" t="s">
        <v>3940</v>
      </c>
      <c r="H81" s="359" t="s">
        <v>3434</v>
      </c>
      <c r="I81" s="359" t="s">
        <v>3941</v>
      </c>
      <c r="J81" s="359" t="s">
        <v>3942</v>
      </c>
      <c r="K81" s="359" t="s">
        <v>3943</v>
      </c>
      <c r="L81" s="359" t="s">
        <v>2892</v>
      </c>
      <c r="M81" s="360" t="s">
        <v>3464</v>
      </c>
      <c r="N81" s="359" t="s">
        <v>3071</v>
      </c>
      <c r="O81" s="359" t="s">
        <v>3529</v>
      </c>
      <c r="P81" s="361" t="s">
        <v>3011</v>
      </c>
    </row>
    <row r="82" spans="1:16" ht="15.5">
      <c r="A82" s="355" t="s">
        <v>3205</v>
      </c>
      <c r="B82" s="126">
        <v>13</v>
      </c>
      <c r="C82" s="126" t="s">
        <v>2949</v>
      </c>
      <c r="D82" s="126" t="s">
        <v>3944</v>
      </c>
      <c r="E82" s="126" t="s">
        <v>3945</v>
      </c>
      <c r="F82" s="126">
        <v>1.21</v>
      </c>
      <c r="G82" s="126" t="s">
        <v>3946</v>
      </c>
      <c r="H82" s="126" t="s">
        <v>2966</v>
      </c>
      <c r="I82" s="126" t="s">
        <v>3947</v>
      </c>
      <c r="J82" s="126" t="s">
        <v>3948</v>
      </c>
      <c r="K82" s="126" t="s">
        <v>3949</v>
      </c>
      <c r="L82" s="126" t="s">
        <v>3155</v>
      </c>
      <c r="M82" s="356" t="s">
        <v>3095</v>
      </c>
      <c r="N82" s="126" t="s">
        <v>3435</v>
      </c>
      <c r="O82" s="126" t="s">
        <v>2949</v>
      </c>
      <c r="P82" s="357" t="s">
        <v>3130</v>
      </c>
    </row>
    <row r="83" spans="1:16" ht="15.5">
      <c r="A83" s="358" t="s">
        <v>3208</v>
      </c>
      <c r="B83" s="359">
        <v>84</v>
      </c>
      <c r="C83" s="359" t="s">
        <v>3130</v>
      </c>
      <c r="D83" s="359" t="s">
        <v>3950</v>
      </c>
      <c r="E83" s="359" t="s">
        <v>3951</v>
      </c>
      <c r="F83" s="359">
        <v>1.08</v>
      </c>
      <c r="G83" s="359" t="s">
        <v>3952</v>
      </c>
      <c r="H83" s="359" t="s">
        <v>3130</v>
      </c>
      <c r="I83" s="359" t="s">
        <v>3953</v>
      </c>
      <c r="J83" s="359" t="s">
        <v>3954</v>
      </c>
      <c r="K83" s="359" t="s">
        <v>3955</v>
      </c>
      <c r="L83" s="359" t="s">
        <v>2949</v>
      </c>
      <c r="M83" s="360" t="s">
        <v>3441</v>
      </c>
      <c r="N83" s="359" t="s">
        <v>3456</v>
      </c>
      <c r="O83" s="359" t="s">
        <v>3116</v>
      </c>
      <c r="P83" s="361" t="s">
        <v>3090</v>
      </c>
    </row>
    <row r="84" spans="1:16" ht="15.5">
      <c r="A84" s="355" t="s">
        <v>3212</v>
      </c>
      <c r="B84" s="126">
        <v>35</v>
      </c>
      <c r="C84" s="126" t="s">
        <v>3956</v>
      </c>
      <c r="D84" s="126" t="s">
        <v>3957</v>
      </c>
      <c r="E84" s="126" t="s">
        <v>3958</v>
      </c>
      <c r="F84" s="126">
        <v>1.48</v>
      </c>
      <c r="G84" s="126" t="s">
        <v>3959</v>
      </c>
      <c r="H84" s="126" t="s">
        <v>3934</v>
      </c>
      <c r="I84" s="126" t="s">
        <v>3960</v>
      </c>
      <c r="J84" s="126" t="s">
        <v>3961</v>
      </c>
      <c r="K84" s="126" t="s">
        <v>3962</v>
      </c>
      <c r="L84" s="126" t="s">
        <v>3041</v>
      </c>
      <c r="M84" s="356" t="s">
        <v>3697</v>
      </c>
      <c r="N84" s="126" t="s">
        <v>3095</v>
      </c>
      <c r="O84" s="126" t="s">
        <v>2865</v>
      </c>
      <c r="P84" s="357" t="s">
        <v>3061</v>
      </c>
    </row>
    <row r="85" spans="1:16" ht="15.5">
      <c r="A85" s="358" t="s">
        <v>3216</v>
      </c>
      <c r="B85" s="359">
        <v>351</v>
      </c>
      <c r="C85" s="359" t="s">
        <v>2949</v>
      </c>
      <c r="D85" s="359" t="s">
        <v>3963</v>
      </c>
      <c r="E85" s="359" t="s">
        <v>3964</v>
      </c>
      <c r="F85" s="359">
        <v>1.24</v>
      </c>
      <c r="G85" s="359" t="s">
        <v>3965</v>
      </c>
      <c r="H85" s="359" t="s">
        <v>2966</v>
      </c>
      <c r="I85" s="359" t="s">
        <v>3966</v>
      </c>
      <c r="J85" s="359" t="s">
        <v>3967</v>
      </c>
      <c r="K85" s="359" t="s">
        <v>3968</v>
      </c>
      <c r="L85" s="359" t="s">
        <v>3253</v>
      </c>
      <c r="M85" s="360" t="s">
        <v>3006</v>
      </c>
      <c r="N85" s="359" t="s">
        <v>3016</v>
      </c>
      <c r="O85" s="359" t="s">
        <v>2860</v>
      </c>
      <c r="P85" s="361" t="s">
        <v>2918</v>
      </c>
    </row>
    <row r="86" spans="1:16" ht="15.5">
      <c r="A86" s="355" t="s">
        <v>3220</v>
      </c>
      <c r="B86" s="126">
        <v>29</v>
      </c>
      <c r="C86" s="126" t="s">
        <v>3477</v>
      </c>
      <c r="D86" s="126" t="s">
        <v>3969</v>
      </c>
      <c r="E86" s="126" t="s">
        <v>3970</v>
      </c>
      <c r="F86" s="126">
        <v>0.98</v>
      </c>
      <c r="G86" s="126" t="s">
        <v>3971</v>
      </c>
      <c r="H86" s="126" t="s">
        <v>2885</v>
      </c>
      <c r="I86" s="126" t="s">
        <v>3972</v>
      </c>
      <c r="J86" s="126" t="s">
        <v>3648</v>
      </c>
      <c r="K86" s="126" t="s">
        <v>3973</v>
      </c>
      <c r="L86" s="126" t="s">
        <v>2949</v>
      </c>
      <c r="M86" s="356" t="s">
        <v>3529</v>
      </c>
      <c r="N86" s="126" t="s">
        <v>3095</v>
      </c>
      <c r="O86" s="126" t="s">
        <v>3456</v>
      </c>
      <c r="P86" s="357" t="s">
        <v>3419</v>
      </c>
    </row>
    <row r="87" spans="1:16" ht="15.5">
      <c r="A87" s="358" t="s">
        <v>3223</v>
      </c>
      <c r="B87" s="359">
        <v>13</v>
      </c>
      <c r="C87" s="359" t="s">
        <v>3455</v>
      </c>
      <c r="D87" s="359" t="s">
        <v>3974</v>
      </c>
      <c r="E87" s="359" t="s">
        <v>3975</v>
      </c>
      <c r="F87" s="359">
        <v>0.73</v>
      </c>
      <c r="G87" s="359" t="s">
        <v>3976</v>
      </c>
      <c r="H87" s="359" t="s">
        <v>3697</v>
      </c>
      <c r="I87" s="359" t="s">
        <v>3977</v>
      </c>
      <c r="J87" s="359" t="s">
        <v>3978</v>
      </c>
      <c r="K87" s="359" t="s">
        <v>3979</v>
      </c>
      <c r="L87" s="359" t="s">
        <v>3980</v>
      </c>
      <c r="M87" s="360" t="s">
        <v>3751</v>
      </c>
      <c r="N87" s="359" t="s">
        <v>3643</v>
      </c>
      <c r="O87" s="359" t="s">
        <v>3465</v>
      </c>
      <c r="P87" s="361" t="s">
        <v>3510</v>
      </c>
    </row>
    <row r="88" spans="1:16" ht="15.5">
      <c r="A88" s="355" t="s">
        <v>3227</v>
      </c>
      <c r="B88" s="126">
        <v>66</v>
      </c>
      <c r="C88" s="126" t="s">
        <v>2885</v>
      </c>
      <c r="D88" s="126" t="s">
        <v>3863</v>
      </c>
      <c r="E88" s="126" t="s">
        <v>3963</v>
      </c>
      <c r="F88" s="126">
        <v>1</v>
      </c>
      <c r="G88" s="126" t="s">
        <v>3679</v>
      </c>
      <c r="H88" s="126" t="s">
        <v>3427</v>
      </c>
      <c r="I88" s="126" t="s">
        <v>3981</v>
      </c>
      <c r="J88" s="126" t="s">
        <v>3982</v>
      </c>
      <c r="K88" s="126" t="s">
        <v>3983</v>
      </c>
      <c r="L88" s="126" t="s">
        <v>3191</v>
      </c>
      <c r="M88" s="356" t="s">
        <v>3155</v>
      </c>
      <c r="N88" s="126" t="s">
        <v>3135</v>
      </c>
      <c r="O88" s="126" t="s">
        <v>3090</v>
      </c>
      <c r="P88" s="357" t="s">
        <v>3104</v>
      </c>
    </row>
    <row r="89" spans="1:16" ht="15.5">
      <c r="A89" s="358" t="s">
        <v>3230</v>
      </c>
      <c r="B89" s="359">
        <v>42</v>
      </c>
      <c r="C89" s="359" t="s">
        <v>3529</v>
      </c>
      <c r="D89" s="359" t="s">
        <v>3984</v>
      </c>
      <c r="E89" s="359" t="s">
        <v>3985</v>
      </c>
      <c r="F89" s="359">
        <v>0.41</v>
      </c>
      <c r="G89" s="359" t="s">
        <v>3986</v>
      </c>
      <c r="H89" s="359" t="s">
        <v>3475</v>
      </c>
      <c r="I89" s="359" t="s">
        <v>3987</v>
      </c>
      <c r="J89" s="359" t="s">
        <v>3988</v>
      </c>
      <c r="K89" s="359" t="s">
        <v>3989</v>
      </c>
      <c r="L89" s="359" t="s">
        <v>3176</v>
      </c>
      <c r="M89" s="360" t="s">
        <v>3924</v>
      </c>
      <c r="N89" s="359" t="s">
        <v>3841</v>
      </c>
      <c r="O89" s="359" t="s">
        <v>3901</v>
      </c>
      <c r="P89" s="361" t="s">
        <v>2890</v>
      </c>
    </row>
    <row r="90" spans="1:16" ht="15.5">
      <c r="A90" s="355" t="s">
        <v>3235</v>
      </c>
      <c r="B90" s="126">
        <v>16</v>
      </c>
      <c r="C90" s="126" t="s">
        <v>3081</v>
      </c>
      <c r="D90" s="126" t="s">
        <v>3990</v>
      </c>
      <c r="E90" s="126" t="s">
        <v>3991</v>
      </c>
      <c r="F90" s="126">
        <v>0.97</v>
      </c>
      <c r="G90" s="126" t="s">
        <v>3992</v>
      </c>
      <c r="H90" s="126" t="s">
        <v>3104</v>
      </c>
      <c r="I90" s="126" t="s">
        <v>3993</v>
      </c>
      <c r="J90" s="126" t="s">
        <v>3994</v>
      </c>
      <c r="K90" s="126" t="s">
        <v>3995</v>
      </c>
      <c r="L90" s="126" t="s">
        <v>2887</v>
      </c>
      <c r="M90" s="356" t="s">
        <v>3510</v>
      </c>
      <c r="N90" s="126" t="s">
        <v>3562</v>
      </c>
      <c r="O90" s="126" t="s">
        <v>2867</v>
      </c>
      <c r="P90" s="357" t="s">
        <v>3477</v>
      </c>
    </row>
    <row r="91" spans="1:16" ht="15.5">
      <c r="A91" s="358" t="s">
        <v>3240</v>
      </c>
      <c r="B91" s="359">
        <v>110</v>
      </c>
      <c r="C91" s="359" t="s">
        <v>3553</v>
      </c>
      <c r="D91" s="359" t="s">
        <v>3739</v>
      </c>
      <c r="E91" s="359" t="s">
        <v>3996</v>
      </c>
      <c r="F91" s="359">
        <v>0.81</v>
      </c>
      <c r="G91" s="359" t="s">
        <v>3513</v>
      </c>
      <c r="H91" s="359" t="s">
        <v>3191</v>
      </c>
      <c r="I91" s="359" t="s">
        <v>3997</v>
      </c>
      <c r="J91" s="359" t="s">
        <v>3998</v>
      </c>
      <c r="K91" s="359" t="s">
        <v>3999</v>
      </c>
      <c r="L91" s="359" t="s">
        <v>3441</v>
      </c>
      <c r="M91" s="360" t="s">
        <v>3144</v>
      </c>
      <c r="N91" s="359" t="s">
        <v>3485</v>
      </c>
      <c r="O91" s="359" t="s">
        <v>3011</v>
      </c>
      <c r="P91" s="361" t="s">
        <v>3575</v>
      </c>
    </row>
    <row r="92" spans="1:16" ht="15.5">
      <c r="A92" s="355" t="s">
        <v>3244</v>
      </c>
      <c r="B92" s="126">
        <v>4</v>
      </c>
      <c r="C92" s="126" t="s">
        <v>2997</v>
      </c>
      <c r="D92" s="126" t="s">
        <v>4000</v>
      </c>
      <c r="E92" s="126" t="s">
        <v>4001</v>
      </c>
      <c r="F92" s="126">
        <v>0.85</v>
      </c>
      <c r="G92" s="126" t="s">
        <v>4002</v>
      </c>
      <c r="H92" s="126" t="s">
        <v>3562</v>
      </c>
      <c r="I92" s="126" t="s">
        <v>4003</v>
      </c>
      <c r="J92" s="126" t="s">
        <v>4004</v>
      </c>
      <c r="K92" s="126" t="s">
        <v>4005</v>
      </c>
      <c r="L92" s="126" t="s">
        <v>4006</v>
      </c>
      <c r="M92" s="356" t="s">
        <v>3464</v>
      </c>
      <c r="N92" s="126" t="s">
        <v>3499</v>
      </c>
      <c r="O92" s="126" t="s">
        <v>3417</v>
      </c>
      <c r="P92" s="357" t="s">
        <v>2895</v>
      </c>
    </row>
    <row r="93" spans="1:16" ht="15.5">
      <c r="A93" s="358" t="s">
        <v>3246</v>
      </c>
      <c r="B93" s="359">
        <v>22</v>
      </c>
      <c r="C93" s="359" t="s">
        <v>3253</v>
      </c>
      <c r="D93" s="359" t="s">
        <v>4007</v>
      </c>
      <c r="E93" s="359" t="s">
        <v>2967</v>
      </c>
      <c r="F93" s="359">
        <v>1</v>
      </c>
      <c r="G93" s="359" t="s">
        <v>4008</v>
      </c>
      <c r="H93" s="359" t="s">
        <v>3224</v>
      </c>
      <c r="I93" s="359" t="s">
        <v>4009</v>
      </c>
      <c r="J93" s="359" t="s">
        <v>4010</v>
      </c>
      <c r="K93" s="359" t="s">
        <v>4011</v>
      </c>
      <c r="L93" s="359" t="s">
        <v>2957</v>
      </c>
      <c r="M93" s="360" t="s">
        <v>3066</v>
      </c>
      <c r="N93" s="359" t="s">
        <v>2913</v>
      </c>
      <c r="O93" s="359" t="s">
        <v>3061</v>
      </c>
      <c r="P93" s="361" t="s">
        <v>2971</v>
      </c>
    </row>
    <row r="94" spans="1:16" ht="15.5">
      <c r="A94" s="355" t="s">
        <v>3249</v>
      </c>
      <c r="B94" s="126">
        <v>14</v>
      </c>
      <c r="C94" s="126" t="s">
        <v>3747</v>
      </c>
      <c r="D94" s="126" t="s">
        <v>4012</v>
      </c>
      <c r="E94" s="126" t="s">
        <v>4013</v>
      </c>
      <c r="F94" s="126">
        <v>0.35</v>
      </c>
      <c r="G94" s="126" t="s">
        <v>4014</v>
      </c>
      <c r="H94" s="126" t="s">
        <v>3008</v>
      </c>
      <c r="I94" s="126" t="s">
        <v>4015</v>
      </c>
      <c r="J94" s="126" t="s">
        <v>4016</v>
      </c>
      <c r="K94" s="126" t="s">
        <v>4017</v>
      </c>
      <c r="L94" s="126" t="s">
        <v>4018</v>
      </c>
      <c r="M94" s="356" t="s">
        <v>4019</v>
      </c>
      <c r="N94" s="126" t="s">
        <v>3980</v>
      </c>
      <c r="O94" s="126" t="s">
        <v>3475</v>
      </c>
      <c r="P94" s="357" t="s">
        <v>3475</v>
      </c>
    </row>
    <row r="95" spans="1:16" ht="15.5">
      <c r="A95" s="358" t="s">
        <v>3252</v>
      </c>
      <c r="B95" s="359">
        <v>13</v>
      </c>
      <c r="C95" s="359" t="s">
        <v>3465</v>
      </c>
      <c r="D95" s="359" t="s">
        <v>4020</v>
      </c>
      <c r="E95" s="359" t="s">
        <v>4021</v>
      </c>
      <c r="F95" s="359">
        <v>0.52</v>
      </c>
      <c r="G95" s="359" t="s">
        <v>4022</v>
      </c>
      <c r="H95" s="359" t="s">
        <v>3476</v>
      </c>
      <c r="I95" s="359" t="s">
        <v>4023</v>
      </c>
      <c r="J95" s="359" t="s">
        <v>4024</v>
      </c>
      <c r="K95" s="359" t="s">
        <v>4025</v>
      </c>
      <c r="L95" s="359" t="s">
        <v>3509</v>
      </c>
      <c r="M95" s="360" t="s">
        <v>3509</v>
      </c>
      <c r="N95" s="359" t="s">
        <v>3510</v>
      </c>
      <c r="O95" s="359" t="s">
        <v>3535</v>
      </c>
      <c r="P95" s="361" t="s">
        <v>3643</v>
      </c>
    </row>
    <row r="96" spans="1:16" ht="15.5">
      <c r="A96" s="355" t="s">
        <v>3255</v>
      </c>
      <c r="B96" s="126">
        <v>6481</v>
      </c>
      <c r="C96" s="126" t="s">
        <v>3553</v>
      </c>
      <c r="D96" s="126" t="s">
        <v>4026</v>
      </c>
      <c r="E96" s="126" t="s">
        <v>4027</v>
      </c>
      <c r="F96" s="126">
        <v>0.74</v>
      </c>
      <c r="G96" s="126" t="s">
        <v>4028</v>
      </c>
      <c r="H96" s="126" t="s">
        <v>3144</v>
      </c>
      <c r="I96" s="126" t="s">
        <v>4029</v>
      </c>
      <c r="J96" s="126" t="s">
        <v>4024</v>
      </c>
      <c r="K96" s="126" t="s">
        <v>4030</v>
      </c>
      <c r="L96" s="362" t="s">
        <v>3155</v>
      </c>
      <c r="M96" s="356" t="s">
        <v>3697</v>
      </c>
      <c r="N96" s="126" t="s">
        <v>3426</v>
      </c>
      <c r="O96" s="126" t="s">
        <v>3231</v>
      </c>
      <c r="P96" s="357" t="s">
        <v>3155</v>
      </c>
    </row>
    <row r="97" spans="1:16" ht="15.5">
      <c r="A97" s="358" t="s">
        <v>3258</v>
      </c>
      <c r="B97" s="359">
        <v>5194</v>
      </c>
      <c r="C97" s="359" t="s">
        <v>2971</v>
      </c>
      <c r="D97" s="359" t="s">
        <v>3025</v>
      </c>
      <c r="E97" s="359" t="s">
        <v>4031</v>
      </c>
      <c r="F97" s="359">
        <v>0.94</v>
      </c>
      <c r="G97" s="359" t="s">
        <v>4032</v>
      </c>
      <c r="H97" s="359" t="s">
        <v>3481</v>
      </c>
      <c r="I97" s="359" t="s">
        <v>4033</v>
      </c>
      <c r="J97" s="359" t="s">
        <v>4034</v>
      </c>
      <c r="K97" s="359" t="s">
        <v>4035</v>
      </c>
      <c r="L97" s="363" t="s">
        <v>2895</v>
      </c>
      <c r="M97" s="364" t="s">
        <v>3562</v>
      </c>
      <c r="N97" s="359" t="s">
        <v>2957</v>
      </c>
      <c r="O97" s="359" t="s">
        <v>3016</v>
      </c>
      <c r="P97" s="365" t="s">
        <v>3553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4B79C-0214-4397-B2C3-B1B4EF2FBFCF}">
  <dimension ref="A1:Y129"/>
  <sheetViews>
    <sheetView zoomScale="125" workbookViewId="0">
      <selection activeCell="B6" sqref="B6:I6"/>
    </sheetView>
  </sheetViews>
  <sheetFormatPr baseColWidth="10" defaultColWidth="10.7265625" defaultRowHeight="15.5"/>
  <cols>
    <col min="1" max="1" width="15.54296875" style="134" bestFit="1" customWidth="1"/>
    <col min="2" max="2" width="8.54296875" style="134" customWidth="1"/>
    <col min="3" max="3" width="12.453125" style="134" customWidth="1"/>
    <col min="4" max="4" width="13.7265625" style="134" customWidth="1"/>
    <col min="5" max="7" width="12.81640625" style="134" customWidth="1"/>
    <col min="8" max="8" width="12.1796875" style="134" bestFit="1" customWidth="1"/>
    <col min="9" max="9" width="12.81640625" style="134" bestFit="1" customWidth="1"/>
    <col min="10" max="13" width="12.453125" style="134" customWidth="1"/>
    <col min="14" max="14" width="12.81640625" style="134" customWidth="1"/>
    <col min="15" max="15" width="13.81640625" style="134" customWidth="1"/>
    <col min="16" max="19" width="10.7265625" style="134"/>
    <col min="20" max="20" width="10.7265625" style="135"/>
    <col min="21" max="256" width="10.7265625" style="134"/>
    <col min="257" max="257" width="15.54296875" style="134" bestFit="1" customWidth="1"/>
    <col min="258" max="258" width="8.54296875" style="134" customWidth="1"/>
    <col min="259" max="259" width="12.453125" style="134" customWidth="1"/>
    <col min="260" max="260" width="13.7265625" style="134" customWidth="1"/>
    <col min="261" max="263" width="12.81640625" style="134" customWidth="1"/>
    <col min="264" max="264" width="12.1796875" style="134" bestFit="1" customWidth="1"/>
    <col min="265" max="265" width="12.81640625" style="134" bestFit="1" customWidth="1"/>
    <col min="266" max="269" width="12.453125" style="134" customWidth="1"/>
    <col min="270" max="270" width="12.81640625" style="134" customWidth="1"/>
    <col min="271" max="271" width="13.81640625" style="134" customWidth="1"/>
    <col min="272" max="512" width="10.7265625" style="134"/>
    <col min="513" max="513" width="15.54296875" style="134" bestFit="1" customWidth="1"/>
    <col min="514" max="514" width="8.54296875" style="134" customWidth="1"/>
    <col min="515" max="515" width="12.453125" style="134" customWidth="1"/>
    <col min="516" max="516" width="13.7265625" style="134" customWidth="1"/>
    <col min="517" max="519" width="12.81640625" style="134" customWidth="1"/>
    <col min="520" max="520" width="12.1796875" style="134" bestFit="1" customWidth="1"/>
    <col min="521" max="521" width="12.81640625" style="134" bestFit="1" customWidth="1"/>
    <col min="522" max="525" width="12.453125" style="134" customWidth="1"/>
    <col min="526" max="526" width="12.81640625" style="134" customWidth="1"/>
    <col min="527" max="527" width="13.81640625" style="134" customWidth="1"/>
    <col min="528" max="768" width="10.7265625" style="134"/>
    <col min="769" max="769" width="15.54296875" style="134" bestFit="1" customWidth="1"/>
    <col min="770" max="770" width="8.54296875" style="134" customWidth="1"/>
    <col min="771" max="771" width="12.453125" style="134" customWidth="1"/>
    <col min="772" max="772" width="13.7265625" style="134" customWidth="1"/>
    <col min="773" max="775" width="12.81640625" style="134" customWidth="1"/>
    <col min="776" max="776" width="12.1796875" style="134" bestFit="1" customWidth="1"/>
    <col min="777" max="777" width="12.81640625" style="134" bestFit="1" customWidth="1"/>
    <col min="778" max="781" width="12.453125" style="134" customWidth="1"/>
    <col min="782" max="782" width="12.81640625" style="134" customWidth="1"/>
    <col min="783" max="783" width="13.81640625" style="134" customWidth="1"/>
    <col min="784" max="1024" width="10.7265625" style="134"/>
    <col min="1025" max="1025" width="15.54296875" style="134" bestFit="1" customWidth="1"/>
    <col min="1026" max="1026" width="8.54296875" style="134" customWidth="1"/>
    <col min="1027" max="1027" width="12.453125" style="134" customWidth="1"/>
    <col min="1028" max="1028" width="13.7265625" style="134" customWidth="1"/>
    <col min="1029" max="1031" width="12.81640625" style="134" customWidth="1"/>
    <col min="1032" max="1032" width="12.1796875" style="134" bestFit="1" customWidth="1"/>
    <col min="1033" max="1033" width="12.81640625" style="134" bestFit="1" customWidth="1"/>
    <col min="1034" max="1037" width="12.453125" style="134" customWidth="1"/>
    <col min="1038" max="1038" width="12.81640625" style="134" customWidth="1"/>
    <col min="1039" max="1039" width="13.81640625" style="134" customWidth="1"/>
    <col min="1040" max="1280" width="10.7265625" style="134"/>
    <col min="1281" max="1281" width="15.54296875" style="134" bestFit="1" customWidth="1"/>
    <col min="1282" max="1282" width="8.54296875" style="134" customWidth="1"/>
    <col min="1283" max="1283" width="12.453125" style="134" customWidth="1"/>
    <col min="1284" max="1284" width="13.7265625" style="134" customWidth="1"/>
    <col min="1285" max="1287" width="12.81640625" style="134" customWidth="1"/>
    <col min="1288" max="1288" width="12.1796875" style="134" bestFit="1" customWidth="1"/>
    <col min="1289" max="1289" width="12.81640625" style="134" bestFit="1" customWidth="1"/>
    <col min="1290" max="1293" width="12.453125" style="134" customWidth="1"/>
    <col min="1294" max="1294" width="12.81640625" style="134" customWidth="1"/>
    <col min="1295" max="1295" width="13.81640625" style="134" customWidth="1"/>
    <col min="1296" max="1536" width="10.7265625" style="134"/>
    <col min="1537" max="1537" width="15.54296875" style="134" bestFit="1" customWidth="1"/>
    <col min="1538" max="1538" width="8.54296875" style="134" customWidth="1"/>
    <col min="1539" max="1539" width="12.453125" style="134" customWidth="1"/>
    <col min="1540" max="1540" width="13.7265625" style="134" customWidth="1"/>
    <col min="1541" max="1543" width="12.81640625" style="134" customWidth="1"/>
    <col min="1544" max="1544" width="12.1796875" style="134" bestFit="1" customWidth="1"/>
    <col min="1545" max="1545" width="12.81640625" style="134" bestFit="1" customWidth="1"/>
    <col min="1546" max="1549" width="12.453125" style="134" customWidth="1"/>
    <col min="1550" max="1550" width="12.81640625" style="134" customWidth="1"/>
    <col min="1551" max="1551" width="13.81640625" style="134" customWidth="1"/>
    <col min="1552" max="1792" width="10.7265625" style="134"/>
    <col min="1793" max="1793" width="15.54296875" style="134" bestFit="1" customWidth="1"/>
    <col min="1794" max="1794" width="8.54296875" style="134" customWidth="1"/>
    <col min="1795" max="1795" width="12.453125" style="134" customWidth="1"/>
    <col min="1796" max="1796" width="13.7265625" style="134" customWidth="1"/>
    <col min="1797" max="1799" width="12.81640625" style="134" customWidth="1"/>
    <col min="1800" max="1800" width="12.1796875" style="134" bestFit="1" customWidth="1"/>
    <col min="1801" max="1801" width="12.81640625" style="134" bestFit="1" customWidth="1"/>
    <col min="1802" max="1805" width="12.453125" style="134" customWidth="1"/>
    <col min="1806" max="1806" width="12.81640625" style="134" customWidth="1"/>
    <col min="1807" max="1807" width="13.81640625" style="134" customWidth="1"/>
    <col min="1808" max="2048" width="10.7265625" style="134"/>
    <col min="2049" max="2049" width="15.54296875" style="134" bestFit="1" customWidth="1"/>
    <col min="2050" max="2050" width="8.54296875" style="134" customWidth="1"/>
    <col min="2051" max="2051" width="12.453125" style="134" customWidth="1"/>
    <col min="2052" max="2052" width="13.7265625" style="134" customWidth="1"/>
    <col min="2053" max="2055" width="12.81640625" style="134" customWidth="1"/>
    <col min="2056" max="2056" width="12.1796875" style="134" bestFit="1" customWidth="1"/>
    <col min="2057" max="2057" width="12.81640625" style="134" bestFit="1" customWidth="1"/>
    <col min="2058" max="2061" width="12.453125" style="134" customWidth="1"/>
    <col min="2062" max="2062" width="12.81640625" style="134" customWidth="1"/>
    <col min="2063" max="2063" width="13.81640625" style="134" customWidth="1"/>
    <col min="2064" max="2304" width="10.7265625" style="134"/>
    <col min="2305" max="2305" width="15.54296875" style="134" bestFit="1" customWidth="1"/>
    <col min="2306" max="2306" width="8.54296875" style="134" customWidth="1"/>
    <col min="2307" max="2307" width="12.453125" style="134" customWidth="1"/>
    <col min="2308" max="2308" width="13.7265625" style="134" customWidth="1"/>
    <col min="2309" max="2311" width="12.81640625" style="134" customWidth="1"/>
    <col min="2312" max="2312" width="12.1796875" style="134" bestFit="1" customWidth="1"/>
    <col min="2313" max="2313" width="12.81640625" style="134" bestFit="1" customWidth="1"/>
    <col min="2314" max="2317" width="12.453125" style="134" customWidth="1"/>
    <col min="2318" max="2318" width="12.81640625" style="134" customWidth="1"/>
    <col min="2319" max="2319" width="13.81640625" style="134" customWidth="1"/>
    <col min="2320" max="2560" width="10.7265625" style="134"/>
    <col min="2561" max="2561" width="15.54296875" style="134" bestFit="1" customWidth="1"/>
    <col min="2562" max="2562" width="8.54296875" style="134" customWidth="1"/>
    <col min="2563" max="2563" width="12.453125" style="134" customWidth="1"/>
    <col min="2564" max="2564" width="13.7265625" style="134" customWidth="1"/>
    <col min="2565" max="2567" width="12.81640625" style="134" customWidth="1"/>
    <col min="2568" max="2568" width="12.1796875" style="134" bestFit="1" customWidth="1"/>
    <col min="2569" max="2569" width="12.81640625" style="134" bestFit="1" customWidth="1"/>
    <col min="2570" max="2573" width="12.453125" style="134" customWidth="1"/>
    <col min="2574" max="2574" width="12.81640625" style="134" customWidth="1"/>
    <col min="2575" max="2575" width="13.81640625" style="134" customWidth="1"/>
    <col min="2576" max="2816" width="10.7265625" style="134"/>
    <col min="2817" max="2817" width="15.54296875" style="134" bestFit="1" customWidth="1"/>
    <col min="2818" max="2818" width="8.54296875" style="134" customWidth="1"/>
    <col min="2819" max="2819" width="12.453125" style="134" customWidth="1"/>
    <col min="2820" max="2820" width="13.7265625" style="134" customWidth="1"/>
    <col min="2821" max="2823" width="12.81640625" style="134" customWidth="1"/>
    <col min="2824" max="2824" width="12.1796875" style="134" bestFit="1" customWidth="1"/>
    <col min="2825" max="2825" width="12.81640625" style="134" bestFit="1" customWidth="1"/>
    <col min="2826" max="2829" width="12.453125" style="134" customWidth="1"/>
    <col min="2830" max="2830" width="12.81640625" style="134" customWidth="1"/>
    <col min="2831" max="2831" width="13.81640625" style="134" customWidth="1"/>
    <col min="2832" max="3072" width="10.7265625" style="134"/>
    <col min="3073" max="3073" width="15.54296875" style="134" bestFit="1" customWidth="1"/>
    <col min="3074" max="3074" width="8.54296875" style="134" customWidth="1"/>
    <col min="3075" max="3075" width="12.453125" style="134" customWidth="1"/>
    <col min="3076" max="3076" width="13.7265625" style="134" customWidth="1"/>
    <col min="3077" max="3079" width="12.81640625" style="134" customWidth="1"/>
    <col min="3080" max="3080" width="12.1796875" style="134" bestFit="1" customWidth="1"/>
    <col min="3081" max="3081" width="12.81640625" style="134" bestFit="1" customWidth="1"/>
    <col min="3082" max="3085" width="12.453125" style="134" customWidth="1"/>
    <col min="3086" max="3086" width="12.81640625" style="134" customWidth="1"/>
    <col min="3087" max="3087" width="13.81640625" style="134" customWidth="1"/>
    <col min="3088" max="3328" width="10.7265625" style="134"/>
    <col min="3329" max="3329" width="15.54296875" style="134" bestFit="1" customWidth="1"/>
    <col min="3330" max="3330" width="8.54296875" style="134" customWidth="1"/>
    <col min="3331" max="3331" width="12.453125" style="134" customWidth="1"/>
    <col min="3332" max="3332" width="13.7265625" style="134" customWidth="1"/>
    <col min="3333" max="3335" width="12.81640625" style="134" customWidth="1"/>
    <col min="3336" max="3336" width="12.1796875" style="134" bestFit="1" customWidth="1"/>
    <col min="3337" max="3337" width="12.81640625" style="134" bestFit="1" customWidth="1"/>
    <col min="3338" max="3341" width="12.453125" style="134" customWidth="1"/>
    <col min="3342" max="3342" width="12.81640625" style="134" customWidth="1"/>
    <col min="3343" max="3343" width="13.81640625" style="134" customWidth="1"/>
    <col min="3344" max="3584" width="10.7265625" style="134"/>
    <col min="3585" max="3585" width="15.54296875" style="134" bestFit="1" customWidth="1"/>
    <col min="3586" max="3586" width="8.54296875" style="134" customWidth="1"/>
    <col min="3587" max="3587" width="12.453125" style="134" customWidth="1"/>
    <col min="3588" max="3588" width="13.7265625" style="134" customWidth="1"/>
    <col min="3589" max="3591" width="12.81640625" style="134" customWidth="1"/>
    <col min="3592" max="3592" width="12.1796875" style="134" bestFit="1" customWidth="1"/>
    <col min="3593" max="3593" width="12.81640625" style="134" bestFit="1" customWidth="1"/>
    <col min="3594" max="3597" width="12.453125" style="134" customWidth="1"/>
    <col min="3598" max="3598" width="12.81640625" style="134" customWidth="1"/>
    <col min="3599" max="3599" width="13.81640625" style="134" customWidth="1"/>
    <col min="3600" max="3840" width="10.7265625" style="134"/>
    <col min="3841" max="3841" width="15.54296875" style="134" bestFit="1" customWidth="1"/>
    <col min="3842" max="3842" width="8.54296875" style="134" customWidth="1"/>
    <col min="3843" max="3843" width="12.453125" style="134" customWidth="1"/>
    <col min="3844" max="3844" width="13.7265625" style="134" customWidth="1"/>
    <col min="3845" max="3847" width="12.81640625" style="134" customWidth="1"/>
    <col min="3848" max="3848" width="12.1796875" style="134" bestFit="1" customWidth="1"/>
    <col min="3849" max="3849" width="12.81640625" style="134" bestFit="1" customWidth="1"/>
    <col min="3850" max="3853" width="12.453125" style="134" customWidth="1"/>
    <col min="3854" max="3854" width="12.81640625" style="134" customWidth="1"/>
    <col min="3855" max="3855" width="13.81640625" style="134" customWidth="1"/>
    <col min="3856" max="4096" width="10.7265625" style="134"/>
    <col min="4097" max="4097" width="15.54296875" style="134" bestFit="1" customWidth="1"/>
    <col min="4098" max="4098" width="8.54296875" style="134" customWidth="1"/>
    <col min="4099" max="4099" width="12.453125" style="134" customWidth="1"/>
    <col min="4100" max="4100" width="13.7265625" style="134" customWidth="1"/>
    <col min="4101" max="4103" width="12.81640625" style="134" customWidth="1"/>
    <col min="4104" max="4104" width="12.1796875" style="134" bestFit="1" customWidth="1"/>
    <col min="4105" max="4105" width="12.81640625" style="134" bestFit="1" customWidth="1"/>
    <col min="4106" max="4109" width="12.453125" style="134" customWidth="1"/>
    <col min="4110" max="4110" width="12.81640625" style="134" customWidth="1"/>
    <col min="4111" max="4111" width="13.81640625" style="134" customWidth="1"/>
    <col min="4112" max="4352" width="10.7265625" style="134"/>
    <col min="4353" max="4353" width="15.54296875" style="134" bestFit="1" customWidth="1"/>
    <col min="4354" max="4354" width="8.54296875" style="134" customWidth="1"/>
    <col min="4355" max="4355" width="12.453125" style="134" customWidth="1"/>
    <col min="4356" max="4356" width="13.7265625" style="134" customWidth="1"/>
    <col min="4357" max="4359" width="12.81640625" style="134" customWidth="1"/>
    <col min="4360" max="4360" width="12.1796875" style="134" bestFit="1" customWidth="1"/>
    <col min="4361" max="4361" width="12.81640625" style="134" bestFit="1" customWidth="1"/>
    <col min="4362" max="4365" width="12.453125" style="134" customWidth="1"/>
    <col min="4366" max="4366" width="12.81640625" style="134" customWidth="1"/>
    <col min="4367" max="4367" width="13.81640625" style="134" customWidth="1"/>
    <col min="4368" max="4608" width="10.7265625" style="134"/>
    <col min="4609" max="4609" width="15.54296875" style="134" bestFit="1" customWidth="1"/>
    <col min="4610" max="4610" width="8.54296875" style="134" customWidth="1"/>
    <col min="4611" max="4611" width="12.453125" style="134" customWidth="1"/>
    <col min="4612" max="4612" width="13.7265625" style="134" customWidth="1"/>
    <col min="4613" max="4615" width="12.81640625" style="134" customWidth="1"/>
    <col min="4616" max="4616" width="12.1796875" style="134" bestFit="1" customWidth="1"/>
    <col min="4617" max="4617" width="12.81640625" style="134" bestFit="1" customWidth="1"/>
    <col min="4618" max="4621" width="12.453125" style="134" customWidth="1"/>
    <col min="4622" max="4622" width="12.81640625" style="134" customWidth="1"/>
    <col min="4623" max="4623" width="13.81640625" style="134" customWidth="1"/>
    <col min="4624" max="4864" width="10.7265625" style="134"/>
    <col min="4865" max="4865" width="15.54296875" style="134" bestFit="1" customWidth="1"/>
    <col min="4866" max="4866" width="8.54296875" style="134" customWidth="1"/>
    <col min="4867" max="4867" width="12.453125" style="134" customWidth="1"/>
    <col min="4868" max="4868" width="13.7265625" style="134" customWidth="1"/>
    <col min="4869" max="4871" width="12.81640625" style="134" customWidth="1"/>
    <col min="4872" max="4872" width="12.1796875" style="134" bestFit="1" customWidth="1"/>
    <col min="4873" max="4873" width="12.81640625" style="134" bestFit="1" customWidth="1"/>
    <col min="4874" max="4877" width="12.453125" style="134" customWidth="1"/>
    <col min="4878" max="4878" width="12.81640625" style="134" customWidth="1"/>
    <col min="4879" max="4879" width="13.81640625" style="134" customWidth="1"/>
    <col min="4880" max="5120" width="10.7265625" style="134"/>
    <col min="5121" max="5121" width="15.54296875" style="134" bestFit="1" customWidth="1"/>
    <col min="5122" max="5122" width="8.54296875" style="134" customWidth="1"/>
    <col min="5123" max="5123" width="12.453125" style="134" customWidth="1"/>
    <col min="5124" max="5124" width="13.7265625" style="134" customWidth="1"/>
    <col min="5125" max="5127" width="12.81640625" style="134" customWidth="1"/>
    <col min="5128" max="5128" width="12.1796875" style="134" bestFit="1" customWidth="1"/>
    <col min="5129" max="5129" width="12.81640625" style="134" bestFit="1" customWidth="1"/>
    <col min="5130" max="5133" width="12.453125" style="134" customWidth="1"/>
    <col min="5134" max="5134" width="12.81640625" style="134" customWidth="1"/>
    <col min="5135" max="5135" width="13.81640625" style="134" customWidth="1"/>
    <col min="5136" max="5376" width="10.7265625" style="134"/>
    <col min="5377" max="5377" width="15.54296875" style="134" bestFit="1" customWidth="1"/>
    <col min="5378" max="5378" width="8.54296875" style="134" customWidth="1"/>
    <col min="5379" max="5379" width="12.453125" style="134" customWidth="1"/>
    <col min="5380" max="5380" width="13.7265625" style="134" customWidth="1"/>
    <col min="5381" max="5383" width="12.81640625" style="134" customWidth="1"/>
    <col min="5384" max="5384" width="12.1796875" style="134" bestFit="1" customWidth="1"/>
    <col min="5385" max="5385" width="12.81640625" style="134" bestFit="1" customWidth="1"/>
    <col min="5386" max="5389" width="12.453125" style="134" customWidth="1"/>
    <col min="5390" max="5390" width="12.81640625" style="134" customWidth="1"/>
    <col min="5391" max="5391" width="13.81640625" style="134" customWidth="1"/>
    <col min="5392" max="5632" width="10.7265625" style="134"/>
    <col min="5633" max="5633" width="15.54296875" style="134" bestFit="1" customWidth="1"/>
    <col min="5634" max="5634" width="8.54296875" style="134" customWidth="1"/>
    <col min="5635" max="5635" width="12.453125" style="134" customWidth="1"/>
    <col min="5636" max="5636" width="13.7265625" style="134" customWidth="1"/>
    <col min="5637" max="5639" width="12.81640625" style="134" customWidth="1"/>
    <col min="5640" max="5640" width="12.1796875" style="134" bestFit="1" customWidth="1"/>
    <col min="5641" max="5641" width="12.81640625" style="134" bestFit="1" customWidth="1"/>
    <col min="5642" max="5645" width="12.453125" style="134" customWidth="1"/>
    <col min="5646" max="5646" width="12.81640625" style="134" customWidth="1"/>
    <col min="5647" max="5647" width="13.81640625" style="134" customWidth="1"/>
    <col min="5648" max="5888" width="10.7265625" style="134"/>
    <col min="5889" max="5889" width="15.54296875" style="134" bestFit="1" customWidth="1"/>
    <col min="5890" max="5890" width="8.54296875" style="134" customWidth="1"/>
    <col min="5891" max="5891" width="12.453125" style="134" customWidth="1"/>
    <col min="5892" max="5892" width="13.7265625" style="134" customWidth="1"/>
    <col min="5893" max="5895" width="12.81640625" style="134" customWidth="1"/>
    <col min="5896" max="5896" width="12.1796875" style="134" bestFit="1" customWidth="1"/>
    <col min="5897" max="5897" width="12.81640625" style="134" bestFit="1" customWidth="1"/>
    <col min="5898" max="5901" width="12.453125" style="134" customWidth="1"/>
    <col min="5902" max="5902" width="12.81640625" style="134" customWidth="1"/>
    <col min="5903" max="5903" width="13.81640625" style="134" customWidth="1"/>
    <col min="5904" max="6144" width="10.7265625" style="134"/>
    <col min="6145" max="6145" width="15.54296875" style="134" bestFit="1" customWidth="1"/>
    <col min="6146" max="6146" width="8.54296875" style="134" customWidth="1"/>
    <col min="6147" max="6147" width="12.453125" style="134" customWidth="1"/>
    <col min="6148" max="6148" width="13.7265625" style="134" customWidth="1"/>
    <col min="6149" max="6151" width="12.81640625" style="134" customWidth="1"/>
    <col min="6152" max="6152" width="12.1796875" style="134" bestFit="1" customWidth="1"/>
    <col min="6153" max="6153" width="12.81640625" style="134" bestFit="1" customWidth="1"/>
    <col min="6154" max="6157" width="12.453125" style="134" customWidth="1"/>
    <col min="6158" max="6158" width="12.81640625" style="134" customWidth="1"/>
    <col min="6159" max="6159" width="13.81640625" style="134" customWidth="1"/>
    <col min="6160" max="6400" width="10.7265625" style="134"/>
    <col min="6401" max="6401" width="15.54296875" style="134" bestFit="1" customWidth="1"/>
    <col min="6402" max="6402" width="8.54296875" style="134" customWidth="1"/>
    <col min="6403" max="6403" width="12.453125" style="134" customWidth="1"/>
    <col min="6404" max="6404" width="13.7265625" style="134" customWidth="1"/>
    <col min="6405" max="6407" width="12.81640625" style="134" customWidth="1"/>
    <col min="6408" max="6408" width="12.1796875" style="134" bestFit="1" customWidth="1"/>
    <col min="6409" max="6409" width="12.81640625" style="134" bestFit="1" customWidth="1"/>
    <col min="6410" max="6413" width="12.453125" style="134" customWidth="1"/>
    <col min="6414" max="6414" width="12.81640625" style="134" customWidth="1"/>
    <col min="6415" max="6415" width="13.81640625" style="134" customWidth="1"/>
    <col min="6416" max="6656" width="10.7265625" style="134"/>
    <col min="6657" max="6657" width="15.54296875" style="134" bestFit="1" customWidth="1"/>
    <col min="6658" max="6658" width="8.54296875" style="134" customWidth="1"/>
    <col min="6659" max="6659" width="12.453125" style="134" customWidth="1"/>
    <col min="6660" max="6660" width="13.7265625" style="134" customWidth="1"/>
    <col min="6661" max="6663" width="12.81640625" style="134" customWidth="1"/>
    <col min="6664" max="6664" width="12.1796875" style="134" bestFit="1" customWidth="1"/>
    <col min="6665" max="6665" width="12.81640625" style="134" bestFit="1" customWidth="1"/>
    <col min="6666" max="6669" width="12.453125" style="134" customWidth="1"/>
    <col min="6670" max="6670" width="12.81640625" style="134" customWidth="1"/>
    <col min="6671" max="6671" width="13.81640625" style="134" customWidth="1"/>
    <col min="6672" max="6912" width="10.7265625" style="134"/>
    <col min="6913" max="6913" width="15.54296875" style="134" bestFit="1" customWidth="1"/>
    <col min="6914" max="6914" width="8.54296875" style="134" customWidth="1"/>
    <col min="6915" max="6915" width="12.453125" style="134" customWidth="1"/>
    <col min="6916" max="6916" width="13.7265625" style="134" customWidth="1"/>
    <col min="6917" max="6919" width="12.81640625" style="134" customWidth="1"/>
    <col min="6920" max="6920" width="12.1796875" style="134" bestFit="1" customWidth="1"/>
    <col min="6921" max="6921" width="12.81640625" style="134" bestFit="1" customWidth="1"/>
    <col min="6922" max="6925" width="12.453125" style="134" customWidth="1"/>
    <col min="6926" max="6926" width="12.81640625" style="134" customWidth="1"/>
    <col min="6927" max="6927" width="13.81640625" style="134" customWidth="1"/>
    <col min="6928" max="7168" width="10.7265625" style="134"/>
    <col min="7169" max="7169" width="15.54296875" style="134" bestFit="1" customWidth="1"/>
    <col min="7170" max="7170" width="8.54296875" style="134" customWidth="1"/>
    <col min="7171" max="7171" width="12.453125" style="134" customWidth="1"/>
    <col min="7172" max="7172" width="13.7265625" style="134" customWidth="1"/>
    <col min="7173" max="7175" width="12.81640625" style="134" customWidth="1"/>
    <col min="7176" max="7176" width="12.1796875" style="134" bestFit="1" customWidth="1"/>
    <col min="7177" max="7177" width="12.81640625" style="134" bestFit="1" customWidth="1"/>
    <col min="7178" max="7181" width="12.453125" style="134" customWidth="1"/>
    <col min="7182" max="7182" width="12.81640625" style="134" customWidth="1"/>
    <col min="7183" max="7183" width="13.81640625" style="134" customWidth="1"/>
    <col min="7184" max="7424" width="10.7265625" style="134"/>
    <col min="7425" max="7425" width="15.54296875" style="134" bestFit="1" customWidth="1"/>
    <col min="7426" max="7426" width="8.54296875" style="134" customWidth="1"/>
    <col min="7427" max="7427" width="12.453125" style="134" customWidth="1"/>
    <col min="7428" max="7428" width="13.7265625" style="134" customWidth="1"/>
    <col min="7429" max="7431" width="12.81640625" style="134" customWidth="1"/>
    <col min="7432" max="7432" width="12.1796875" style="134" bestFit="1" customWidth="1"/>
    <col min="7433" max="7433" width="12.81640625" style="134" bestFit="1" customWidth="1"/>
    <col min="7434" max="7437" width="12.453125" style="134" customWidth="1"/>
    <col min="7438" max="7438" width="12.81640625" style="134" customWidth="1"/>
    <col min="7439" max="7439" width="13.81640625" style="134" customWidth="1"/>
    <col min="7440" max="7680" width="10.7265625" style="134"/>
    <col min="7681" max="7681" width="15.54296875" style="134" bestFit="1" customWidth="1"/>
    <col min="7682" max="7682" width="8.54296875" style="134" customWidth="1"/>
    <col min="7683" max="7683" width="12.453125" style="134" customWidth="1"/>
    <col min="7684" max="7684" width="13.7265625" style="134" customWidth="1"/>
    <col min="7685" max="7687" width="12.81640625" style="134" customWidth="1"/>
    <col min="7688" max="7688" width="12.1796875" style="134" bestFit="1" customWidth="1"/>
    <col min="7689" max="7689" width="12.81640625" style="134" bestFit="1" customWidth="1"/>
    <col min="7690" max="7693" width="12.453125" style="134" customWidth="1"/>
    <col min="7694" max="7694" width="12.81640625" style="134" customWidth="1"/>
    <col min="7695" max="7695" width="13.81640625" style="134" customWidth="1"/>
    <col min="7696" max="7936" width="10.7265625" style="134"/>
    <col min="7937" max="7937" width="15.54296875" style="134" bestFit="1" customWidth="1"/>
    <col min="7938" max="7938" width="8.54296875" style="134" customWidth="1"/>
    <col min="7939" max="7939" width="12.453125" style="134" customWidth="1"/>
    <col min="7940" max="7940" width="13.7265625" style="134" customWidth="1"/>
    <col min="7941" max="7943" width="12.81640625" style="134" customWidth="1"/>
    <col min="7944" max="7944" width="12.1796875" style="134" bestFit="1" customWidth="1"/>
    <col min="7945" max="7945" width="12.81640625" style="134" bestFit="1" customWidth="1"/>
    <col min="7946" max="7949" width="12.453125" style="134" customWidth="1"/>
    <col min="7950" max="7950" width="12.81640625" style="134" customWidth="1"/>
    <col min="7951" max="7951" width="13.81640625" style="134" customWidth="1"/>
    <col min="7952" max="8192" width="10.7265625" style="134"/>
    <col min="8193" max="8193" width="15.54296875" style="134" bestFit="1" customWidth="1"/>
    <col min="8194" max="8194" width="8.54296875" style="134" customWidth="1"/>
    <col min="8195" max="8195" width="12.453125" style="134" customWidth="1"/>
    <col min="8196" max="8196" width="13.7265625" style="134" customWidth="1"/>
    <col min="8197" max="8199" width="12.81640625" style="134" customWidth="1"/>
    <col min="8200" max="8200" width="12.1796875" style="134" bestFit="1" customWidth="1"/>
    <col min="8201" max="8201" width="12.81640625" style="134" bestFit="1" customWidth="1"/>
    <col min="8202" max="8205" width="12.453125" style="134" customWidth="1"/>
    <col min="8206" max="8206" width="12.81640625" style="134" customWidth="1"/>
    <col min="8207" max="8207" width="13.81640625" style="134" customWidth="1"/>
    <col min="8208" max="8448" width="10.7265625" style="134"/>
    <col min="8449" max="8449" width="15.54296875" style="134" bestFit="1" customWidth="1"/>
    <col min="8450" max="8450" width="8.54296875" style="134" customWidth="1"/>
    <col min="8451" max="8451" width="12.453125" style="134" customWidth="1"/>
    <col min="8452" max="8452" width="13.7265625" style="134" customWidth="1"/>
    <col min="8453" max="8455" width="12.81640625" style="134" customWidth="1"/>
    <col min="8456" max="8456" width="12.1796875" style="134" bestFit="1" customWidth="1"/>
    <col min="8457" max="8457" width="12.81640625" style="134" bestFit="1" customWidth="1"/>
    <col min="8458" max="8461" width="12.453125" style="134" customWidth="1"/>
    <col min="8462" max="8462" width="12.81640625" style="134" customWidth="1"/>
    <col min="8463" max="8463" width="13.81640625" style="134" customWidth="1"/>
    <col min="8464" max="8704" width="10.7265625" style="134"/>
    <col min="8705" max="8705" width="15.54296875" style="134" bestFit="1" customWidth="1"/>
    <col min="8706" max="8706" width="8.54296875" style="134" customWidth="1"/>
    <col min="8707" max="8707" width="12.453125" style="134" customWidth="1"/>
    <col min="8708" max="8708" width="13.7265625" style="134" customWidth="1"/>
    <col min="8709" max="8711" width="12.81640625" style="134" customWidth="1"/>
    <col min="8712" max="8712" width="12.1796875" style="134" bestFit="1" customWidth="1"/>
    <col min="8713" max="8713" width="12.81640625" style="134" bestFit="1" customWidth="1"/>
    <col min="8714" max="8717" width="12.453125" style="134" customWidth="1"/>
    <col min="8718" max="8718" width="12.81640625" style="134" customWidth="1"/>
    <col min="8719" max="8719" width="13.81640625" style="134" customWidth="1"/>
    <col min="8720" max="8960" width="10.7265625" style="134"/>
    <col min="8961" max="8961" width="15.54296875" style="134" bestFit="1" customWidth="1"/>
    <col min="8962" max="8962" width="8.54296875" style="134" customWidth="1"/>
    <col min="8963" max="8963" width="12.453125" style="134" customWidth="1"/>
    <col min="8964" max="8964" width="13.7265625" style="134" customWidth="1"/>
    <col min="8965" max="8967" width="12.81640625" style="134" customWidth="1"/>
    <col min="8968" max="8968" width="12.1796875" style="134" bestFit="1" customWidth="1"/>
    <col min="8969" max="8969" width="12.81640625" style="134" bestFit="1" customWidth="1"/>
    <col min="8970" max="8973" width="12.453125" style="134" customWidth="1"/>
    <col min="8974" max="8974" width="12.81640625" style="134" customWidth="1"/>
    <col min="8975" max="8975" width="13.81640625" style="134" customWidth="1"/>
    <col min="8976" max="9216" width="10.7265625" style="134"/>
    <col min="9217" max="9217" width="15.54296875" style="134" bestFit="1" customWidth="1"/>
    <col min="9218" max="9218" width="8.54296875" style="134" customWidth="1"/>
    <col min="9219" max="9219" width="12.453125" style="134" customWidth="1"/>
    <col min="9220" max="9220" width="13.7265625" style="134" customWidth="1"/>
    <col min="9221" max="9223" width="12.81640625" style="134" customWidth="1"/>
    <col min="9224" max="9224" width="12.1796875" style="134" bestFit="1" customWidth="1"/>
    <col min="9225" max="9225" width="12.81640625" style="134" bestFit="1" customWidth="1"/>
    <col min="9226" max="9229" width="12.453125" style="134" customWidth="1"/>
    <col min="9230" max="9230" width="12.81640625" style="134" customWidth="1"/>
    <col min="9231" max="9231" width="13.81640625" style="134" customWidth="1"/>
    <col min="9232" max="9472" width="10.7265625" style="134"/>
    <col min="9473" max="9473" width="15.54296875" style="134" bestFit="1" customWidth="1"/>
    <col min="9474" max="9474" width="8.54296875" style="134" customWidth="1"/>
    <col min="9475" max="9475" width="12.453125" style="134" customWidth="1"/>
    <col min="9476" max="9476" width="13.7265625" style="134" customWidth="1"/>
    <col min="9477" max="9479" width="12.81640625" style="134" customWidth="1"/>
    <col min="9480" max="9480" width="12.1796875" style="134" bestFit="1" customWidth="1"/>
    <col min="9481" max="9481" width="12.81640625" style="134" bestFit="1" customWidth="1"/>
    <col min="9482" max="9485" width="12.453125" style="134" customWidth="1"/>
    <col min="9486" max="9486" width="12.81640625" style="134" customWidth="1"/>
    <col min="9487" max="9487" width="13.81640625" style="134" customWidth="1"/>
    <col min="9488" max="9728" width="10.7265625" style="134"/>
    <col min="9729" max="9729" width="15.54296875" style="134" bestFit="1" customWidth="1"/>
    <col min="9730" max="9730" width="8.54296875" style="134" customWidth="1"/>
    <col min="9731" max="9731" width="12.453125" style="134" customWidth="1"/>
    <col min="9732" max="9732" width="13.7265625" style="134" customWidth="1"/>
    <col min="9733" max="9735" width="12.81640625" style="134" customWidth="1"/>
    <col min="9736" max="9736" width="12.1796875" style="134" bestFit="1" customWidth="1"/>
    <col min="9737" max="9737" width="12.81640625" style="134" bestFit="1" customWidth="1"/>
    <col min="9738" max="9741" width="12.453125" style="134" customWidth="1"/>
    <col min="9742" max="9742" width="12.81640625" style="134" customWidth="1"/>
    <col min="9743" max="9743" width="13.81640625" style="134" customWidth="1"/>
    <col min="9744" max="9984" width="10.7265625" style="134"/>
    <col min="9985" max="9985" width="15.54296875" style="134" bestFit="1" customWidth="1"/>
    <col min="9986" max="9986" width="8.54296875" style="134" customWidth="1"/>
    <col min="9987" max="9987" width="12.453125" style="134" customWidth="1"/>
    <col min="9988" max="9988" width="13.7265625" style="134" customWidth="1"/>
    <col min="9989" max="9991" width="12.81640625" style="134" customWidth="1"/>
    <col min="9992" max="9992" width="12.1796875" style="134" bestFit="1" customWidth="1"/>
    <col min="9993" max="9993" width="12.81640625" style="134" bestFit="1" customWidth="1"/>
    <col min="9994" max="9997" width="12.453125" style="134" customWidth="1"/>
    <col min="9998" max="9998" width="12.81640625" style="134" customWidth="1"/>
    <col min="9999" max="9999" width="13.81640625" style="134" customWidth="1"/>
    <col min="10000" max="10240" width="10.7265625" style="134"/>
    <col min="10241" max="10241" width="15.54296875" style="134" bestFit="1" customWidth="1"/>
    <col min="10242" max="10242" width="8.54296875" style="134" customWidth="1"/>
    <col min="10243" max="10243" width="12.453125" style="134" customWidth="1"/>
    <col min="10244" max="10244" width="13.7265625" style="134" customWidth="1"/>
    <col min="10245" max="10247" width="12.81640625" style="134" customWidth="1"/>
    <col min="10248" max="10248" width="12.1796875" style="134" bestFit="1" customWidth="1"/>
    <col min="10249" max="10249" width="12.81640625" style="134" bestFit="1" customWidth="1"/>
    <col min="10250" max="10253" width="12.453125" style="134" customWidth="1"/>
    <col min="10254" max="10254" width="12.81640625" style="134" customWidth="1"/>
    <col min="10255" max="10255" width="13.81640625" style="134" customWidth="1"/>
    <col min="10256" max="10496" width="10.7265625" style="134"/>
    <col min="10497" max="10497" width="15.54296875" style="134" bestFit="1" customWidth="1"/>
    <col min="10498" max="10498" width="8.54296875" style="134" customWidth="1"/>
    <col min="10499" max="10499" width="12.453125" style="134" customWidth="1"/>
    <col min="10500" max="10500" width="13.7265625" style="134" customWidth="1"/>
    <col min="10501" max="10503" width="12.81640625" style="134" customWidth="1"/>
    <col min="10504" max="10504" width="12.1796875" style="134" bestFit="1" customWidth="1"/>
    <col min="10505" max="10505" width="12.81640625" style="134" bestFit="1" customWidth="1"/>
    <col min="10506" max="10509" width="12.453125" style="134" customWidth="1"/>
    <col min="10510" max="10510" width="12.81640625" style="134" customWidth="1"/>
    <col min="10511" max="10511" width="13.81640625" style="134" customWidth="1"/>
    <col min="10512" max="10752" width="10.7265625" style="134"/>
    <col min="10753" max="10753" width="15.54296875" style="134" bestFit="1" customWidth="1"/>
    <col min="10754" max="10754" width="8.54296875" style="134" customWidth="1"/>
    <col min="10755" max="10755" width="12.453125" style="134" customWidth="1"/>
    <col min="10756" max="10756" width="13.7265625" style="134" customWidth="1"/>
    <col min="10757" max="10759" width="12.81640625" style="134" customWidth="1"/>
    <col min="10760" max="10760" width="12.1796875" style="134" bestFit="1" customWidth="1"/>
    <col min="10761" max="10761" width="12.81640625" style="134" bestFit="1" customWidth="1"/>
    <col min="10762" max="10765" width="12.453125" style="134" customWidth="1"/>
    <col min="10766" max="10766" width="12.81640625" style="134" customWidth="1"/>
    <col min="10767" max="10767" width="13.81640625" style="134" customWidth="1"/>
    <col min="10768" max="11008" width="10.7265625" style="134"/>
    <col min="11009" max="11009" width="15.54296875" style="134" bestFit="1" customWidth="1"/>
    <col min="11010" max="11010" width="8.54296875" style="134" customWidth="1"/>
    <col min="11011" max="11011" width="12.453125" style="134" customWidth="1"/>
    <col min="11012" max="11012" width="13.7265625" style="134" customWidth="1"/>
    <col min="11013" max="11015" width="12.81640625" style="134" customWidth="1"/>
    <col min="11016" max="11016" width="12.1796875" style="134" bestFit="1" customWidth="1"/>
    <col min="11017" max="11017" width="12.81640625" style="134" bestFit="1" customWidth="1"/>
    <col min="11018" max="11021" width="12.453125" style="134" customWidth="1"/>
    <col min="11022" max="11022" width="12.81640625" style="134" customWidth="1"/>
    <col min="11023" max="11023" width="13.81640625" style="134" customWidth="1"/>
    <col min="11024" max="11264" width="10.7265625" style="134"/>
    <col min="11265" max="11265" width="15.54296875" style="134" bestFit="1" customWidth="1"/>
    <col min="11266" max="11266" width="8.54296875" style="134" customWidth="1"/>
    <col min="11267" max="11267" width="12.453125" style="134" customWidth="1"/>
    <col min="11268" max="11268" width="13.7265625" style="134" customWidth="1"/>
    <col min="11269" max="11271" width="12.81640625" style="134" customWidth="1"/>
    <col min="11272" max="11272" width="12.1796875" style="134" bestFit="1" customWidth="1"/>
    <col min="11273" max="11273" width="12.81640625" style="134" bestFit="1" customWidth="1"/>
    <col min="11274" max="11277" width="12.453125" style="134" customWidth="1"/>
    <col min="11278" max="11278" width="12.81640625" style="134" customWidth="1"/>
    <col min="11279" max="11279" width="13.81640625" style="134" customWidth="1"/>
    <col min="11280" max="11520" width="10.7265625" style="134"/>
    <col min="11521" max="11521" width="15.54296875" style="134" bestFit="1" customWidth="1"/>
    <col min="11522" max="11522" width="8.54296875" style="134" customWidth="1"/>
    <col min="11523" max="11523" width="12.453125" style="134" customWidth="1"/>
    <col min="11524" max="11524" width="13.7265625" style="134" customWidth="1"/>
    <col min="11525" max="11527" width="12.81640625" style="134" customWidth="1"/>
    <col min="11528" max="11528" width="12.1796875" style="134" bestFit="1" customWidth="1"/>
    <col min="11529" max="11529" width="12.81640625" style="134" bestFit="1" customWidth="1"/>
    <col min="11530" max="11533" width="12.453125" style="134" customWidth="1"/>
    <col min="11534" max="11534" width="12.81640625" style="134" customWidth="1"/>
    <col min="11535" max="11535" width="13.81640625" style="134" customWidth="1"/>
    <col min="11536" max="11776" width="10.7265625" style="134"/>
    <col min="11777" max="11777" width="15.54296875" style="134" bestFit="1" customWidth="1"/>
    <col min="11778" max="11778" width="8.54296875" style="134" customWidth="1"/>
    <col min="11779" max="11779" width="12.453125" style="134" customWidth="1"/>
    <col min="11780" max="11780" width="13.7265625" style="134" customWidth="1"/>
    <col min="11781" max="11783" width="12.81640625" style="134" customWidth="1"/>
    <col min="11784" max="11784" width="12.1796875" style="134" bestFit="1" customWidth="1"/>
    <col min="11785" max="11785" width="12.81640625" style="134" bestFit="1" customWidth="1"/>
    <col min="11786" max="11789" width="12.453125" style="134" customWidth="1"/>
    <col min="11790" max="11790" width="12.81640625" style="134" customWidth="1"/>
    <col min="11791" max="11791" width="13.81640625" style="134" customWidth="1"/>
    <col min="11792" max="12032" width="10.7265625" style="134"/>
    <col min="12033" max="12033" width="15.54296875" style="134" bestFit="1" customWidth="1"/>
    <col min="12034" max="12034" width="8.54296875" style="134" customWidth="1"/>
    <col min="12035" max="12035" width="12.453125" style="134" customWidth="1"/>
    <col min="12036" max="12036" width="13.7265625" style="134" customWidth="1"/>
    <col min="12037" max="12039" width="12.81640625" style="134" customWidth="1"/>
    <col min="12040" max="12040" width="12.1796875" style="134" bestFit="1" customWidth="1"/>
    <col min="12041" max="12041" width="12.81640625" style="134" bestFit="1" customWidth="1"/>
    <col min="12042" max="12045" width="12.453125" style="134" customWidth="1"/>
    <col min="12046" max="12046" width="12.81640625" style="134" customWidth="1"/>
    <col min="12047" max="12047" width="13.81640625" style="134" customWidth="1"/>
    <col min="12048" max="12288" width="10.7265625" style="134"/>
    <col min="12289" max="12289" width="15.54296875" style="134" bestFit="1" customWidth="1"/>
    <col min="12290" max="12290" width="8.54296875" style="134" customWidth="1"/>
    <col min="12291" max="12291" width="12.453125" style="134" customWidth="1"/>
    <col min="12292" max="12292" width="13.7265625" style="134" customWidth="1"/>
    <col min="12293" max="12295" width="12.81640625" style="134" customWidth="1"/>
    <col min="12296" max="12296" width="12.1796875" style="134" bestFit="1" customWidth="1"/>
    <col min="12297" max="12297" width="12.81640625" style="134" bestFit="1" customWidth="1"/>
    <col min="12298" max="12301" width="12.453125" style="134" customWidth="1"/>
    <col min="12302" max="12302" width="12.81640625" style="134" customWidth="1"/>
    <col min="12303" max="12303" width="13.81640625" style="134" customWidth="1"/>
    <col min="12304" max="12544" width="10.7265625" style="134"/>
    <col min="12545" max="12545" width="15.54296875" style="134" bestFit="1" customWidth="1"/>
    <col min="12546" max="12546" width="8.54296875" style="134" customWidth="1"/>
    <col min="12547" max="12547" width="12.453125" style="134" customWidth="1"/>
    <col min="12548" max="12548" width="13.7265625" style="134" customWidth="1"/>
    <col min="12549" max="12551" width="12.81640625" style="134" customWidth="1"/>
    <col min="12552" max="12552" width="12.1796875" style="134" bestFit="1" customWidth="1"/>
    <col min="12553" max="12553" width="12.81640625" style="134" bestFit="1" customWidth="1"/>
    <col min="12554" max="12557" width="12.453125" style="134" customWidth="1"/>
    <col min="12558" max="12558" width="12.81640625" style="134" customWidth="1"/>
    <col min="12559" max="12559" width="13.81640625" style="134" customWidth="1"/>
    <col min="12560" max="12800" width="10.7265625" style="134"/>
    <col min="12801" max="12801" width="15.54296875" style="134" bestFit="1" customWidth="1"/>
    <col min="12802" max="12802" width="8.54296875" style="134" customWidth="1"/>
    <col min="12803" max="12803" width="12.453125" style="134" customWidth="1"/>
    <col min="12804" max="12804" width="13.7265625" style="134" customWidth="1"/>
    <col min="12805" max="12807" width="12.81640625" style="134" customWidth="1"/>
    <col min="12808" max="12808" width="12.1796875" style="134" bestFit="1" customWidth="1"/>
    <col min="12809" max="12809" width="12.81640625" style="134" bestFit="1" customWidth="1"/>
    <col min="12810" max="12813" width="12.453125" style="134" customWidth="1"/>
    <col min="12814" max="12814" width="12.81640625" style="134" customWidth="1"/>
    <col min="12815" max="12815" width="13.81640625" style="134" customWidth="1"/>
    <col min="12816" max="13056" width="10.7265625" style="134"/>
    <col min="13057" max="13057" width="15.54296875" style="134" bestFit="1" customWidth="1"/>
    <col min="13058" max="13058" width="8.54296875" style="134" customWidth="1"/>
    <col min="13059" max="13059" width="12.453125" style="134" customWidth="1"/>
    <col min="13060" max="13060" width="13.7265625" style="134" customWidth="1"/>
    <col min="13061" max="13063" width="12.81640625" style="134" customWidth="1"/>
    <col min="13064" max="13064" width="12.1796875" style="134" bestFit="1" customWidth="1"/>
    <col min="13065" max="13065" width="12.81640625" style="134" bestFit="1" customWidth="1"/>
    <col min="13066" max="13069" width="12.453125" style="134" customWidth="1"/>
    <col min="13070" max="13070" width="12.81640625" style="134" customWidth="1"/>
    <col min="13071" max="13071" width="13.81640625" style="134" customWidth="1"/>
    <col min="13072" max="13312" width="10.7265625" style="134"/>
    <col min="13313" max="13313" width="15.54296875" style="134" bestFit="1" customWidth="1"/>
    <col min="13314" max="13314" width="8.54296875" style="134" customWidth="1"/>
    <col min="13315" max="13315" width="12.453125" style="134" customWidth="1"/>
    <col min="13316" max="13316" width="13.7265625" style="134" customWidth="1"/>
    <col min="13317" max="13319" width="12.81640625" style="134" customWidth="1"/>
    <col min="13320" max="13320" width="12.1796875" style="134" bestFit="1" customWidth="1"/>
    <col min="13321" max="13321" width="12.81640625" style="134" bestFit="1" customWidth="1"/>
    <col min="13322" max="13325" width="12.453125" style="134" customWidth="1"/>
    <col min="13326" max="13326" width="12.81640625" style="134" customWidth="1"/>
    <col min="13327" max="13327" width="13.81640625" style="134" customWidth="1"/>
    <col min="13328" max="13568" width="10.7265625" style="134"/>
    <col min="13569" max="13569" width="15.54296875" style="134" bestFit="1" customWidth="1"/>
    <col min="13570" max="13570" width="8.54296875" style="134" customWidth="1"/>
    <col min="13571" max="13571" width="12.453125" style="134" customWidth="1"/>
    <col min="13572" max="13572" width="13.7265625" style="134" customWidth="1"/>
    <col min="13573" max="13575" width="12.81640625" style="134" customWidth="1"/>
    <col min="13576" max="13576" width="12.1796875" style="134" bestFit="1" customWidth="1"/>
    <col min="13577" max="13577" width="12.81640625" style="134" bestFit="1" customWidth="1"/>
    <col min="13578" max="13581" width="12.453125" style="134" customWidth="1"/>
    <col min="13582" max="13582" width="12.81640625" style="134" customWidth="1"/>
    <col min="13583" max="13583" width="13.81640625" style="134" customWidth="1"/>
    <col min="13584" max="13824" width="10.7265625" style="134"/>
    <col min="13825" max="13825" width="15.54296875" style="134" bestFit="1" customWidth="1"/>
    <col min="13826" max="13826" width="8.54296875" style="134" customWidth="1"/>
    <col min="13827" max="13827" width="12.453125" style="134" customWidth="1"/>
    <col min="13828" max="13828" width="13.7265625" style="134" customWidth="1"/>
    <col min="13829" max="13831" width="12.81640625" style="134" customWidth="1"/>
    <col min="13832" max="13832" width="12.1796875" style="134" bestFit="1" customWidth="1"/>
    <col min="13833" max="13833" width="12.81640625" style="134" bestFit="1" customWidth="1"/>
    <col min="13834" max="13837" width="12.453125" style="134" customWidth="1"/>
    <col min="13838" max="13838" width="12.81640625" style="134" customWidth="1"/>
    <col min="13839" max="13839" width="13.81640625" style="134" customWidth="1"/>
    <col min="13840" max="14080" width="10.7265625" style="134"/>
    <col min="14081" max="14081" width="15.54296875" style="134" bestFit="1" customWidth="1"/>
    <col min="14082" max="14082" width="8.54296875" style="134" customWidth="1"/>
    <col min="14083" max="14083" width="12.453125" style="134" customWidth="1"/>
    <col min="14084" max="14084" width="13.7265625" style="134" customWidth="1"/>
    <col min="14085" max="14087" width="12.81640625" style="134" customWidth="1"/>
    <col min="14088" max="14088" width="12.1796875" style="134" bestFit="1" customWidth="1"/>
    <col min="14089" max="14089" width="12.81640625" style="134" bestFit="1" customWidth="1"/>
    <col min="14090" max="14093" width="12.453125" style="134" customWidth="1"/>
    <col min="14094" max="14094" width="12.81640625" style="134" customWidth="1"/>
    <col min="14095" max="14095" width="13.81640625" style="134" customWidth="1"/>
    <col min="14096" max="14336" width="10.7265625" style="134"/>
    <col min="14337" max="14337" width="15.54296875" style="134" bestFit="1" customWidth="1"/>
    <col min="14338" max="14338" width="8.54296875" style="134" customWidth="1"/>
    <col min="14339" max="14339" width="12.453125" style="134" customWidth="1"/>
    <col min="14340" max="14340" width="13.7265625" style="134" customWidth="1"/>
    <col min="14341" max="14343" width="12.81640625" style="134" customWidth="1"/>
    <col min="14344" max="14344" width="12.1796875" style="134" bestFit="1" customWidth="1"/>
    <col min="14345" max="14345" width="12.81640625" style="134" bestFit="1" customWidth="1"/>
    <col min="14346" max="14349" width="12.453125" style="134" customWidth="1"/>
    <col min="14350" max="14350" width="12.81640625" style="134" customWidth="1"/>
    <col min="14351" max="14351" width="13.81640625" style="134" customWidth="1"/>
    <col min="14352" max="14592" width="10.7265625" style="134"/>
    <col min="14593" max="14593" width="15.54296875" style="134" bestFit="1" customWidth="1"/>
    <col min="14594" max="14594" width="8.54296875" style="134" customWidth="1"/>
    <col min="14595" max="14595" width="12.453125" style="134" customWidth="1"/>
    <col min="14596" max="14596" width="13.7265625" style="134" customWidth="1"/>
    <col min="14597" max="14599" width="12.81640625" style="134" customWidth="1"/>
    <col min="14600" max="14600" width="12.1796875" style="134" bestFit="1" customWidth="1"/>
    <col min="14601" max="14601" width="12.81640625" style="134" bestFit="1" customWidth="1"/>
    <col min="14602" max="14605" width="12.453125" style="134" customWidth="1"/>
    <col min="14606" max="14606" width="12.81640625" style="134" customWidth="1"/>
    <col min="14607" max="14607" width="13.81640625" style="134" customWidth="1"/>
    <col min="14608" max="14848" width="10.7265625" style="134"/>
    <col min="14849" max="14849" width="15.54296875" style="134" bestFit="1" customWidth="1"/>
    <col min="14850" max="14850" width="8.54296875" style="134" customWidth="1"/>
    <col min="14851" max="14851" width="12.453125" style="134" customWidth="1"/>
    <col min="14852" max="14852" width="13.7265625" style="134" customWidth="1"/>
    <col min="14853" max="14855" width="12.81640625" style="134" customWidth="1"/>
    <col min="14856" max="14856" width="12.1796875" style="134" bestFit="1" customWidth="1"/>
    <col min="14857" max="14857" width="12.81640625" style="134" bestFit="1" customWidth="1"/>
    <col min="14858" max="14861" width="12.453125" style="134" customWidth="1"/>
    <col min="14862" max="14862" width="12.81640625" style="134" customWidth="1"/>
    <col min="14863" max="14863" width="13.81640625" style="134" customWidth="1"/>
    <col min="14864" max="15104" width="10.7265625" style="134"/>
    <col min="15105" max="15105" width="15.54296875" style="134" bestFit="1" customWidth="1"/>
    <col min="15106" max="15106" width="8.54296875" style="134" customWidth="1"/>
    <col min="15107" max="15107" width="12.453125" style="134" customWidth="1"/>
    <col min="15108" max="15108" width="13.7265625" style="134" customWidth="1"/>
    <col min="15109" max="15111" width="12.81640625" style="134" customWidth="1"/>
    <col min="15112" max="15112" width="12.1796875" style="134" bestFit="1" customWidth="1"/>
    <col min="15113" max="15113" width="12.81640625" style="134" bestFit="1" customWidth="1"/>
    <col min="15114" max="15117" width="12.453125" style="134" customWidth="1"/>
    <col min="15118" max="15118" width="12.81640625" style="134" customWidth="1"/>
    <col min="15119" max="15119" width="13.81640625" style="134" customWidth="1"/>
    <col min="15120" max="15360" width="10.7265625" style="134"/>
    <col min="15361" max="15361" width="15.54296875" style="134" bestFit="1" customWidth="1"/>
    <col min="15362" max="15362" width="8.54296875" style="134" customWidth="1"/>
    <col min="15363" max="15363" width="12.453125" style="134" customWidth="1"/>
    <col min="15364" max="15364" width="13.7265625" style="134" customWidth="1"/>
    <col min="15365" max="15367" width="12.81640625" style="134" customWidth="1"/>
    <col min="15368" max="15368" width="12.1796875" style="134" bestFit="1" customWidth="1"/>
    <col min="15369" max="15369" width="12.81640625" style="134" bestFit="1" customWidth="1"/>
    <col min="15370" max="15373" width="12.453125" style="134" customWidth="1"/>
    <col min="15374" max="15374" width="12.81640625" style="134" customWidth="1"/>
    <col min="15375" max="15375" width="13.81640625" style="134" customWidth="1"/>
    <col min="15376" max="15616" width="10.7265625" style="134"/>
    <col min="15617" max="15617" width="15.54296875" style="134" bestFit="1" customWidth="1"/>
    <col min="15618" max="15618" width="8.54296875" style="134" customWidth="1"/>
    <col min="15619" max="15619" width="12.453125" style="134" customWidth="1"/>
    <col min="15620" max="15620" width="13.7265625" style="134" customWidth="1"/>
    <col min="15621" max="15623" width="12.81640625" style="134" customWidth="1"/>
    <col min="15624" max="15624" width="12.1796875" style="134" bestFit="1" customWidth="1"/>
    <col min="15625" max="15625" width="12.81640625" style="134" bestFit="1" customWidth="1"/>
    <col min="15626" max="15629" width="12.453125" style="134" customWidth="1"/>
    <col min="15630" max="15630" width="12.81640625" style="134" customWidth="1"/>
    <col min="15631" max="15631" width="13.81640625" style="134" customWidth="1"/>
    <col min="15632" max="15872" width="10.7265625" style="134"/>
    <col min="15873" max="15873" width="15.54296875" style="134" bestFit="1" customWidth="1"/>
    <col min="15874" max="15874" width="8.54296875" style="134" customWidth="1"/>
    <col min="15875" max="15875" width="12.453125" style="134" customWidth="1"/>
    <col min="15876" max="15876" width="13.7265625" style="134" customWidth="1"/>
    <col min="15877" max="15879" width="12.81640625" style="134" customWidth="1"/>
    <col min="15880" max="15880" width="12.1796875" style="134" bestFit="1" customWidth="1"/>
    <col min="15881" max="15881" width="12.81640625" style="134" bestFit="1" customWidth="1"/>
    <col min="15882" max="15885" width="12.453125" style="134" customWidth="1"/>
    <col min="15886" max="15886" width="12.81640625" style="134" customWidth="1"/>
    <col min="15887" max="15887" width="13.81640625" style="134" customWidth="1"/>
    <col min="15888" max="16128" width="10.7265625" style="134"/>
    <col min="16129" max="16129" width="15.54296875" style="134" bestFit="1" customWidth="1"/>
    <col min="16130" max="16130" width="8.54296875" style="134" customWidth="1"/>
    <col min="16131" max="16131" width="12.453125" style="134" customWidth="1"/>
    <col min="16132" max="16132" width="13.7265625" style="134" customWidth="1"/>
    <col min="16133" max="16135" width="12.81640625" style="134" customWidth="1"/>
    <col min="16136" max="16136" width="12.1796875" style="134" bestFit="1" customWidth="1"/>
    <col min="16137" max="16137" width="12.81640625" style="134" bestFit="1" customWidth="1"/>
    <col min="16138" max="16141" width="12.453125" style="134" customWidth="1"/>
    <col min="16142" max="16142" width="12.81640625" style="134" customWidth="1"/>
    <col min="16143" max="16143" width="13.81640625" style="134" customWidth="1"/>
    <col min="16144" max="16384" width="10.7265625" style="134"/>
  </cols>
  <sheetData>
    <row r="1" spans="1:20">
      <c r="A1" s="133" t="s">
        <v>3261</v>
      </c>
      <c r="B1" s="877">
        <v>43830</v>
      </c>
      <c r="C1" s="878"/>
      <c r="D1" s="878"/>
      <c r="E1" s="878"/>
      <c r="F1" s="878"/>
      <c r="G1" s="878"/>
      <c r="H1" s="878"/>
      <c r="I1" s="879"/>
    </row>
    <row r="2" spans="1:20">
      <c r="A2" s="136" t="s">
        <v>3262</v>
      </c>
      <c r="B2" s="880" t="s">
        <v>3263</v>
      </c>
      <c r="C2" s="881"/>
      <c r="D2" s="881"/>
      <c r="E2" s="881"/>
      <c r="F2" s="881"/>
      <c r="G2" s="881"/>
      <c r="H2" s="881"/>
      <c r="I2" s="882"/>
    </row>
    <row r="3" spans="1:20">
      <c r="A3" s="136" t="s">
        <v>3264</v>
      </c>
      <c r="B3" s="883" t="s">
        <v>3265</v>
      </c>
      <c r="C3" s="884"/>
      <c r="D3" s="884"/>
      <c r="E3" s="885"/>
      <c r="F3" s="137"/>
      <c r="G3" s="137"/>
      <c r="H3" s="883" t="s">
        <v>4036</v>
      </c>
      <c r="I3" s="886"/>
      <c r="J3" s="138"/>
      <c r="K3" s="138"/>
      <c r="L3" s="138"/>
      <c r="M3" s="138"/>
      <c r="N3" s="138"/>
    </row>
    <row r="4" spans="1:20">
      <c r="A4" s="136" t="s">
        <v>3267</v>
      </c>
      <c r="B4" s="887" t="s">
        <v>3268</v>
      </c>
      <c r="C4" s="888"/>
      <c r="D4" s="888"/>
      <c r="E4" s="888"/>
      <c r="F4" s="888"/>
      <c r="G4" s="888"/>
      <c r="H4" s="888"/>
      <c r="I4" s="889"/>
    </row>
    <row r="5" spans="1:20">
      <c r="A5" s="136" t="s">
        <v>3269</v>
      </c>
      <c r="B5" s="890" t="s">
        <v>4037</v>
      </c>
      <c r="C5" s="891"/>
      <c r="D5" s="891"/>
      <c r="E5" s="891"/>
      <c r="F5" s="891"/>
      <c r="G5" s="891"/>
      <c r="H5" s="891"/>
      <c r="I5" s="892"/>
    </row>
    <row r="6" spans="1:20">
      <c r="A6" s="136" t="s">
        <v>3270</v>
      </c>
      <c r="B6" s="880" t="s">
        <v>4038</v>
      </c>
      <c r="C6" s="881"/>
      <c r="D6" s="881"/>
      <c r="E6" s="881"/>
      <c r="F6" s="881"/>
      <c r="G6" s="881"/>
      <c r="H6" s="881"/>
      <c r="I6" s="882"/>
    </row>
    <row r="7" spans="1:20" ht="16" thickBot="1">
      <c r="A7" s="139" t="s">
        <v>3271</v>
      </c>
      <c r="B7" s="893" t="s">
        <v>4039</v>
      </c>
      <c r="C7" s="894"/>
      <c r="D7" s="894"/>
      <c r="E7" s="894"/>
      <c r="F7" s="894"/>
      <c r="G7" s="894"/>
      <c r="H7" s="894"/>
      <c r="I7" s="895"/>
    </row>
    <row r="8" spans="1:20" s="141" customFormat="1" ht="18">
      <c r="A8" s="140" t="s">
        <v>3272</v>
      </c>
      <c r="B8" s="140"/>
      <c r="C8" s="140"/>
      <c r="D8" s="140"/>
      <c r="E8" s="140"/>
      <c r="F8" s="140"/>
      <c r="G8" s="140"/>
      <c r="H8" s="140"/>
      <c r="I8" s="140"/>
      <c r="T8" s="142"/>
    </row>
    <row r="9" spans="1:20">
      <c r="A9" s="134" t="s">
        <v>3273</v>
      </c>
      <c r="C9" s="143" t="s">
        <v>4040</v>
      </c>
      <c r="H9" s="144" t="s">
        <v>3275</v>
      </c>
      <c r="I9" s="145"/>
      <c r="J9" s="145"/>
      <c r="K9" s="145"/>
      <c r="L9" s="145"/>
      <c r="M9" s="145"/>
      <c r="N9" s="145"/>
      <c r="O9" s="146"/>
    </row>
    <row r="10" spans="1:20">
      <c r="A10" s="134" t="s">
        <v>3276</v>
      </c>
      <c r="C10" s="143">
        <v>2000</v>
      </c>
      <c r="H10" s="147" t="s">
        <v>3277</v>
      </c>
      <c r="I10" s="148"/>
      <c r="K10" s="148"/>
      <c r="L10" s="148"/>
      <c r="M10" s="148"/>
      <c r="N10" s="148"/>
      <c r="O10" s="149"/>
    </row>
    <row r="11" spans="1:20">
      <c r="E11" s="135"/>
      <c r="F11" s="135"/>
      <c r="G11" s="135"/>
      <c r="J11" s="366"/>
    </row>
    <row r="12" spans="1:20">
      <c r="A12" s="134" t="s">
        <v>3278</v>
      </c>
      <c r="D12" s="367">
        <f>IF(C10=1928,100,VLOOKUP(C10-1,A21:M116,8))</f>
        <v>156658.0490724665</v>
      </c>
      <c r="E12" s="151"/>
      <c r="S12" s="135"/>
      <c r="T12" s="134"/>
    </row>
    <row r="13" spans="1:20">
      <c r="A13" s="134" t="s">
        <v>4041</v>
      </c>
      <c r="D13" s="367">
        <f>IF(C10=1928,100,VLOOKUP(C10-1,A21:J116,9))</f>
        <v>1516.0468253839256</v>
      </c>
      <c r="E13" s="151"/>
      <c r="S13" s="135"/>
      <c r="T13" s="134"/>
    </row>
    <row r="14" spans="1:20">
      <c r="A14" s="134" t="s">
        <v>3280</v>
      </c>
      <c r="D14" s="367">
        <f>IF(C10=1928,100,VLOOKUP(C10-1,A20:J116,10))</f>
        <v>2912.8788088601259</v>
      </c>
      <c r="E14" s="151"/>
      <c r="I14" s="366"/>
      <c r="S14" s="135"/>
      <c r="T14" s="134"/>
    </row>
    <row r="15" spans="1:20">
      <c r="A15" s="134" t="s">
        <v>4042</v>
      </c>
      <c r="D15" s="367">
        <f>IF(C10=1928,100,VLOOKUP(C10-1,A20:L116,12))</f>
        <v>1705.0958509641575</v>
      </c>
      <c r="E15" s="151"/>
      <c r="S15" s="135"/>
      <c r="T15" s="134"/>
    </row>
    <row r="16" spans="1:20">
      <c r="A16" s="134" t="s">
        <v>4043</v>
      </c>
      <c r="D16" s="367">
        <f>IF(C10=1928,100,VLOOKUP(C10-1,A20:M116,13))</f>
        <v>1406.2499999999995</v>
      </c>
      <c r="E16" s="151"/>
      <c r="S16" s="135"/>
      <c r="T16" s="134"/>
    </row>
    <row r="17" spans="1:25">
      <c r="A17" s="134" t="s">
        <v>3281</v>
      </c>
      <c r="D17" s="368">
        <f>IF(C9="ST",(H116/D12)^(1/(A116-C10+1))-(I116/D13)^(1/(A116-C10+1)),(H116/D12)^(1/(A116-C10+1))-(J116/D14)^(1/(A116-C10+1)))</f>
        <v>3.0675495800587704E-2</v>
      </c>
      <c r="E17" s="153"/>
      <c r="S17" s="135"/>
      <c r="T17" s="134"/>
    </row>
    <row r="19" spans="1:25">
      <c r="B19" s="904" t="s">
        <v>3282</v>
      </c>
      <c r="C19" s="904"/>
      <c r="D19" s="904"/>
      <c r="E19" s="904"/>
      <c r="F19" s="904"/>
      <c r="G19" s="904"/>
      <c r="H19" s="905" t="s">
        <v>3283</v>
      </c>
      <c r="I19" s="903"/>
      <c r="J19" s="903"/>
      <c r="K19" s="903"/>
      <c r="L19" s="903"/>
      <c r="M19" s="903"/>
      <c r="N19" s="906" t="s">
        <v>3284</v>
      </c>
      <c r="O19" s="907"/>
      <c r="P19" s="907"/>
      <c r="Q19" s="908"/>
      <c r="R19" s="903" t="s">
        <v>3285</v>
      </c>
      <c r="S19" s="903"/>
      <c r="T19" s="903"/>
      <c r="U19" s="903"/>
      <c r="V19" s="903"/>
      <c r="W19" s="903"/>
      <c r="X19" s="903"/>
      <c r="Y19" s="156"/>
    </row>
    <row r="20" spans="1:25" s="160" customFormat="1" ht="77.5">
      <c r="A20" s="369" t="s">
        <v>3286</v>
      </c>
      <c r="B20" s="370" t="s">
        <v>3287</v>
      </c>
      <c r="C20" s="371" t="s">
        <v>3288</v>
      </c>
      <c r="D20" s="371" t="s">
        <v>4044</v>
      </c>
      <c r="E20" s="370" t="s">
        <v>3290</v>
      </c>
      <c r="F20" s="372" t="s">
        <v>3291</v>
      </c>
      <c r="G20" s="373" t="s">
        <v>3292</v>
      </c>
      <c r="H20" s="157" t="s">
        <v>3293</v>
      </c>
      <c r="I20" s="157" t="s">
        <v>3294</v>
      </c>
      <c r="J20" s="157" t="s">
        <v>3295</v>
      </c>
      <c r="K20" s="157" t="s">
        <v>3296</v>
      </c>
      <c r="L20" s="157" t="s">
        <v>3297</v>
      </c>
      <c r="M20" s="157" t="s">
        <v>3298</v>
      </c>
      <c r="N20" s="158" t="s">
        <v>4045</v>
      </c>
      <c r="O20" s="158" t="s">
        <v>4046</v>
      </c>
      <c r="P20" s="159" t="s">
        <v>3301</v>
      </c>
      <c r="Q20" s="159" t="s">
        <v>3302</v>
      </c>
      <c r="R20" s="158" t="s">
        <v>3303</v>
      </c>
      <c r="S20" s="158" t="s">
        <v>3304</v>
      </c>
      <c r="T20" s="158" t="s">
        <v>3305</v>
      </c>
      <c r="U20" s="158" t="s">
        <v>3306</v>
      </c>
      <c r="V20" s="158" t="s">
        <v>3307</v>
      </c>
      <c r="W20" s="158" t="s">
        <v>3308</v>
      </c>
      <c r="X20" s="158" t="s">
        <v>3309</v>
      </c>
    </row>
    <row r="21" spans="1:25">
      <c r="A21" s="165">
        <v>1928</v>
      </c>
      <c r="B21" s="374">
        <v>0.43811155152887893</v>
      </c>
      <c r="C21" s="374">
        <v>3.0800000000000001E-2</v>
      </c>
      <c r="D21" s="374">
        <v>8.354708589799302E-3</v>
      </c>
      <c r="E21" s="374">
        <v>3.2195514702324381E-2</v>
      </c>
      <c r="F21" s="374">
        <v>1.491053677932408E-2</v>
      </c>
      <c r="G21" s="374">
        <v>9.6899224806201723E-4</v>
      </c>
      <c r="H21" s="375">
        <f t="shared" ref="H21:M21" si="0">100*(1+B21)</f>
        <v>143.81115515288789</v>
      </c>
      <c r="I21" s="163">
        <f t="shared" si="0"/>
        <v>103.08</v>
      </c>
      <c r="J21" s="163">
        <f t="shared" si="0"/>
        <v>100.83547085897993</v>
      </c>
      <c r="K21" s="163">
        <f t="shared" si="0"/>
        <v>103.21955147023243</v>
      </c>
      <c r="L21" s="163">
        <f t="shared" si="0"/>
        <v>101.49105367793241</v>
      </c>
      <c r="M21" s="163">
        <f t="shared" si="0"/>
        <v>100.09689922480621</v>
      </c>
      <c r="N21" s="162">
        <f t="shared" ref="N21:N84" si="1">B21-C21</f>
        <v>0.40731155152887893</v>
      </c>
      <c r="O21" s="162">
        <f t="shared" ref="O21:O84" si="2">B21-D21</f>
        <v>0.42975684293907962</v>
      </c>
      <c r="P21" s="164">
        <f t="shared" ref="P21:P84" si="3">B21-E21</f>
        <v>0.40591603682655453</v>
      </c>
      <c r="Q21" s="165"/>
      <c r="R21" s="166">
        <v>-1.15607E-2</v>
      </c>
      <c r="S21" s="167">
        <f t="shared" ref="S21:X52" si="4">(1+B21)/(1+$R21)-1</f>
        <v>0.45493157903462444</v>
      </c>
      <c r="T21" s="167">
        <f t="shared" si="4"/>
        <v>4.2856147059308514E-2</v>
      </c>
      <c r="U21" s="167">
        <f t="shared" si="4"/>
        <v>2.0148337474844569E-2</v>
      </c>
      <c r="V21" s="167">
        <f t="shared" si="4"/>
        <v>4.4267983580098758E-2</v>
      </c>
      <c r="W21" s="167">
        <f t="shared" si="4"/>
        <v>2.678084206012854E-2</v>
      </c>
      <c r="X21" s="167">
        <f t="shared" si="4"/>
        <v>1.2676238437769438E-2</v>
      </c>
    </row>
    <row r="22" spans="1:25">
      <c r="A22" s="165">
        <v>1929</v>
      </c>
      <c r="B22" s="376">
        <v>-8.2979466119096595E-2</v>
      </c>
      <c r="C22" s="376">
        <v>3.1600000000000003E-2</v>
      </c>
      <c r="D22" s="376">
        <v>4.2038041563204259E-2</v>
      </c>
      <c r="E22" s="376">
        <v>3.0178562399040432E-2</v>
      </c>
      <c r="F22" s="376">
        <v>-2.0568070519098924E-2</v>
      </c>
      <c r="G22" s="376">
        <v>-1.4520813165538327E-3</v>
      </c>
      <c r="H22" s="377">
        <f t="shared" ref="H22:M37" si="5">H21*(1+B22)</f>
        <v>131.87778227633069</v>
      </c>
      <c r="I22" s="163">
        <f t="shared" si="5"/>
        <v>106.337328</v>
      </c>
      <c r="J22" s="163">
        <f t="shared" si="5"/>
        <v>105.074396573995</v>
      </c>
      <c r="K22" s="163">
        <f t="shared" si="5"/>
        <v>106.33456914507781</v>
      </c>
      <c r="L22" s="163">
        <f t="shared" si="5"/>
        <v>99.40357852882704</v>
      </c>
      <c r="M22" s="163">
        <f t="shared" si="5"/>
        <v>99.951550387596896</v>
      </c>
      <c r="N22" s="162">
        <f t="shared" si="1"/>
        <v>-0.1145794661190966</v>
      </c>
      <c r="O22" s="162">
        <f t="shared" si="2"/>
        <v>-0.12501750768230085</v>
      </c>
      <c r="P22" s="164">
        <f t="shared" si="3"/>
        <v>-0.11315802851813703</v>
      </c>
      <c r="Q22" s="165"/>
      <c r="R22" s="166">
        <v>5.8479999999999999E-3</v>
      </c>
      <c r="S22" s="168">
        <f t="shared" si="4"/>
        <v>-8.8311023255100762E-2</v>
      </c>
      <c r="T22" s="168">
        <f t="shared" si="4"/>
        <v>2.5602277878963742E-2</v>
      </c>
      <c r="U22" s="168">
        <f t="shared" si="4"/>
        <v>3.5979632671342188E-2</v>
      </c>
      <c r="V22" s="168">
        <f t="shared" si="4"/>
        <v>2.4189104515831783E-2</v>
      </c>
      <c r="W22" s="168">
        <f t="shared" si="4"/>
        <v>-2.6262487492244357E-2</v>
      </c>
      <c r="X22" s="168">
        <f t="shared" si="4"/>
        <v>-7.2576386457535724E-3</v>
      </c>
    </row>
    <row r="23" spans="1:25">
      <c r="A23" s="165">
        <v>1930</v>
      </c>
      <c r="B23" s="376">
        <v>-0.25123636363636365</v>
      </c>
      <c r="C23" s="376">
        <v>4.5499999999999999E-2</v>
      </c>
      <c r="D23" s="376">
        <v>4.5409314348970366E-2</v>
      </c>
      <c r="E23" s="376">
        <v>5.3978094648238287E-3</v>
      </c>
      <c r="F23" s="376">
        <v>-4.2999999999999927E-2</v>
      </c>
      <c r="G23" s="376">
        <v>9.6946194861846635E-4</v>
      </c>
      <c r="H23" s="378">
        <f t="shared" si="5"/>
        <v>98.745287812797272</v>
      </c>
      <c r="I23" s="163">
        <f t="shared" si="5"/>
        <v>111.17567642400002</v>
      </c>
      <c r="J23" s="163">
        <f t="shared" si="5"/>
        <v>109.84575287805193</v>
      </c>
      <c r="K23" s="163">
        <f t="shared" si="5"/>
        <v>106.90854288884708</v>
      </c>
      <c r="L23" s="163">
        <f t="shared" si="5"/>
        <v>95.129224652087487</v>
      </c>
      <c r="M23" s="163">
        <f t="shared" si="5"/>
        <v>100.04844961240309</v>
      </c>
      <c r="N23" s="162">
        <f t="shared" si="1"/>
        <v>-0.29673636363636363</v>
      </c>
      <c r="O23" s="162">
        <f t="shared" si="2"/>
        <v>-0.29664567798533403</v>
      </c>
      <c r="P23" s="164">
        <f t="shared" si="3"/>
        <v>-0.25663417310118747</v>
      </c>
      <c r="Q23" s="165"/>
      <c r="R23" s="166">
        <v>-6.3953499999999996E-2</v>
      </c>
      <c r="S23" s="168">
        <f t="shared" si="4"/>
        <v>-0.20007858972429649</v>
      </c>
      <c r="T23" s="168">
        <f t="shared" si="4"/>
        <v>0.11693169089356137</v>
      </c>
      <c r="U23" s="168">
        <f t="shared" si="4"/>
        <v>0.11683480932728285</v>
      </c>
      <c r="V23" s="168">
        <f t="shared" si="4"/>
        <v>7.4089598609496266E-2</v>
      </c>
      <c r="W23" s="168">
        <f t="shared" si="4"/>
        <v>2.2385105868138133E-2</v>
      </c>
      <c r="X23" s="168">
        <f t="shared" si="4"/>
        <v>6.9358693129687898E-2</v>
      </c>
    </row>
    <row r="24" spans="1:25">
      <c r="A24" s="165">
        <v>1931</v>
      </c>
      <c r="B24" s="376">
        <v>-0.43837548891786188</v>
      </c>
      <c r="C24" s="376">
        <v>2.3099999999999999E-2</v>
      </c>
      <c r="D24" s="376">
        <v>-2.5588559619422531E-2</v>
      </c>
      <c r="E24" s="376">
        <v>-0.15680775082667592</v>
      </c>
      <c r="F24" s="376">
        <v>-8.1504702194357348E-2</v>
      </c>
      <c r="G24" s="376">
        <v>-0.17384987893462467</v>
      </c>
      <c r="H24" s="375">
        <f t="shared" si="5"/>
        <v>55.457773989527276</v>
      </c>
      <c r="I24" s="163">
        <f t="shared" si="5"/>
        <v>113.74383454939441</v>
      </c>
      <c r="J24" s="163">
        <f t="shared" si="5"/>
        <v>107.03495828159154</v>
      </c>
      <c r="K24" s="163">
        <f t="shared" si="5"/>
        <v>90.144454734289752</v>
      </c>
      <c r="L24" s="163">
        <f t="shared" si="5"/>
        <v>87.375745526838983</v>
      </c>
      <c r="M24" s="163">
        <f t="shared" si="5"/>
        <v>82.655038759689916</v>
      </c>
      <c r="N24" s="162">
        <f t="shared" si="1"/>
        <v>-0.46147548891786189</v>
      </c>
      <c r="O24" s="162">
        <f t="shared" si="2"/>
        <v>-0.41278692929843935</v>
      </c>
      <c r="P24" s="164">
        <f t="shared" si="3"/>
        <v>-0.28156773809118596</v>
      </c>
      <c r="Q24" s="165"/>
      <c r="R24" s="166">
        <v>-9.3167700000000006E-2</v>
      </c>
      <c r="S24" s="168">
        <f t="shared" si="4"/>
        <v>-0.38067434179159909</v>
      </c>
      <c r="T24" s="168">
        <f t="shared" si="4"/>
        <v>0.1282130113803841</v>
      </c>
      <c r="U24" s="168">
        <f t="shared" si="4"/>
        <v>7.4522202595317166E-2</v>
      </c>
      <c r="V24" s="168">
        <f t="shared" si="4"/>
        <v>-7.0178412068775953E-2</v>
      </c>
      <c r="W24" s="168">
        <f t="shared" si="4"/>
        <v>1.2861250978425165E-2</v>
      </c>
      <c r="X24" s="168">
        <f t="shared" si="4"/>
        <v>-8.8971443710843423E-2</v>
      </c>
    </row>
    <row r="25" spans="1:25">
      <c r="A25" s="165">
        <v>1932</v>
      </c>
      <c r="B25" s="376">
        <v>-8.642364532019696E-2</v>
      </c>
      <c r="C25" s="376">
        <v>1.0699999999999999E-2</v>
      </c>
      <c r="D25" s="376">
        <v>8.7903069904773257E-2</v>
      </c>
      <c r="E25" s="376">
        <v>0.23589601675740196</v>
      </c>
      <c r="F25" s="376">
        <v>-0.10466439135381123</v>
      </c>
      <c r="G25" s="376">
        <v>0.21277842907385724</v>
      </c>
      <c r="H25" s="375">
        <f t="shared" si="5"/>
        <v>50.664911000008722</v>
      </c>
      <c r="I25" s="163">
        <f t="shared" si="5"/>
        <v>114.96089357907292</v>
      </c>
      <c r="J25" s="163">
        <f t="shared" si="5"/>
        <v>116.44365970167279</v>
      </c>
      <c r="K25" s="163">
        <f t="shared" si="5"/>
        <v>111.40917253887663</v>
      </c>
      <c r="L25" s="163">
        <f t="shared" si="5"/>
        <v>78.230616302186888</v>
      </c>
      <c r="M25" s="163">
        <f t="shared" si="5"/>
        <v>100.24224806201552</v>
      </c>
      <c r="N25" s="162">
        <f t="shared" si="1"/>
        <v>-9.7123645320196961E-2</v>
      </c>
      <c r="O25" s="162">
        <f t="shared" si="2"/>
        <v>-0.17432671522497023</v>
      </c>
      <c r="P25" s="164">
        <f t="shared" si="3"/>
        <v>-0.32231966207759893</v>
      </c>
      <c r="Q25" s="165"/>
      <c r="R25" s="166">
        <v>-0.1027397</v>
      </c>
      <c r="S25" s="168">
        <f t="shared" si="4"/>
        <v>1.8184304688174668E-2</v>
      </c>
      <c r="T25" s="168">
        <f t="shared" si="4"/>
        <v>0.12642897495854877</v>
      </c>
      <c r="U25" s="168">
        <f t="shared" si="4"/>
        <v>0.21247208853971733</v>
      </c>
      <c r="V25" s="168">
        <f t="shared" si="4"/>
        <v>0.37741078788106641</v>
      </c>
      <c r="W25" s="168">
        <f t="shared" si="4"/>
        <v>-2.1450757977492518E-3</v>
      </c>
      <c r="X25" s="168">
        <f t="shared" si="4"/>
        <v>0.35164614892005952</v>
      </c>
    </row>
    <row r="26" spans="1:25">
      <c r="A26" s="165">
        <v>1933</v>
      </c>
      <c r="B26" s="376">
        <v>0.49982225433526023</v>
      </c>
      <c r="C26" s="376">
        <v>9.5999999999999992E-3</v>
      </c>
      <c r="D26" s="376">
        <v>1.8552720891857361E-2</v>
      </c>
      <c r="E26" s="376">
        <v>0.1296689369754826</v>
      </c>
      <c r="F26" s="376">
        <v>-3.811944091486652E-2</v>
      </c>
      <c r="G26" s="376">
        <v>0.27259545674238739</v>
      </c>
      <c r="H26" s="375">
        <f t="shared" si="5"/>
        <v>75.988361031728402</v>
      </c>
      <c r="I26" s="163">
        <f t="shared" si="5"/>
        <v>116.06451815743202</v>
      </c>
      <c r="J26" s="163">
        <f t="shared" si="5"/>
        <v>118.60400641974435</v>
      </c>
      <c r="K26" s="163">
        <f t="shared" si="5"/>
        <v>125.8554815113109</v>
      </c>
      <c r="L26" s="163">
        <f t="shared" si="5"/>
        <v>75.248508946322076</v>
      </c>
      <c r="M26" s="163">
        <f t="shared" si="5"/>
        <v>127.56782945736434</v>
      </c>
      <c r="N26" s="162">
        <f t="shared" si="1"/>
        <v>0.49022225433526023</v>
      </c>
      <c r="O26" s="162">
        <f t="shared" si="2"/>
        <v>0.48126953344340284</v>
      </c>
      <c r="P26" s="164">
        <f t="shared" si="3"/>
        <v>0.37015331735977763</v>
      </c>
      <c r="Q26" s="165"/>
      <c r="R26" s="166">
        <v>7.6336000000000008E-3</v>
      </c>
      <c r="S26" s="168">
        <f t="shared" si="4"/>
        <v>0.48845994648775148</v>
      </c>
      <c r="T26" s="168">
        <f t="shared" si="4"/>
        <v>1.9515030066485917E-3</v>
      </c>
      <c r="U26" s="168">
        <f t="shared" si="4"/>
        <v>1.0836400147690162E-2</v>
      </c>
      <c r="V26" s="168">
        <f t="shared" si="4"/>
        <v>0.12111082537887063</v>
      </c>
      <c r="W26" s="168">
        <f t="shared" si="4"/>
        <v>-4.5406426418160728E-2</v>
      </c>
      <c r="X26" s="168">
        <f t="shared" si="4"/>
        <v>0.26295456676155649</v>
      </c>
    </row>
    <row r="27" spans="1:25">
      <c r="A27" s="165">
        <v>1934</v>
      </c>
      <c r="B27" s="376">
        <v>-1.1885656970912803E-2</v>
      </c>
      <c r="C27" s="376">
        <v>2.7833333333333334E-3</v>
      </c>
      <c r="D27" s="376">
        <v>7.9634426179656104E-2</v>
      </c>
      <c r="E27" s="376">
        <v>0.18816429268482648</v>
      </c>
      <c r="F27" s="376">
        <v>2.9062087186261465E-2</v>
      </c>
      <c r="G27" s="376">
        <v>0.31750854538549178</v>
      </c>
      <c r="H27" s="375">
        <f t="shared" si="5"/>
        <v>75.085189438723404</v>
      </c>
      <c r="I27" s="163">
        <f t="shared" si="5"/>
        <v>116.38756439963687</v>
      </c>
      <c r="J27" s="163">
        <f t="shared" si="5"/>
        <v>128.04896841358894</v>
      </c>
      <c r="K27" s="163">
        <f t="shared" si="5"/>
        <v>149.53698917039497</v>
      </c>
      <c r="L27" s="163">
        <f t="shared" si="5"/>
        <v>77.435387673956271</v>
      </c>
      <c r="M27" s="163">
        <f t="shared" si="5"/>
        <v>168.07170542635657</v>
      </c>
      <c r="N27" s="162">
        <f t="shared" si="1"/>
        <v>-1.4668990304246137E-2</v>
      </c>
      <c r="O27" s="162">
        <f t="shared" si="2"/>
        <v>-9.1520083150568907E-2</v>
      </c>
      <c r="P27" s="164">
        <f t="shared" si="3"/>
        <v>-0.2000499496557393</v>
      </c>
      <c r="Q27" s="165"/>
      <c r="R27" s="166">
        <v>1.51515E-2</v>
      </c>
      <c r="S27" s="168">
        <f t="shared" si="4"/>
        <v>-2.6633617712147228E-2</v>
      </c>
      <c r="T27" s="168">
        <f t="shared" si="4"/>
        <v>-1.2183567346023327E-2</v>
      </c>
      <c r="U27" s="168">
        <f t="shared" si="4"/>
        <v>6.3520495393698306E-2</v>
      </c>
      <c r="V27" s="168">
        <f t="shared" si="4"/>
        <v>0.17043051474073234</v>
      </c>
      <c r="W27" s="168">
        <f t="shared" si="4"/>
        <v>1.370296668651072E-2</v>
      </c>
      <c r="X27" s="168">
        <f t="shared" si="4"/>
        <v>0.29784425810875703</v>
      </c>
    </row>
    <row r="28" spans="1:25">
      <c r="A28" s="165">
        <v>1935</v>
      </c>
      <c r="B28" s="376">
        <v>0.46740421052631581</v>
      </c>
      <c r="C28" s="376">
        <v>1.6750000000000001E-3</v>
      </c>
      <c r="D28" s="376">
        <v>4.4720477296566127E-2</v>
      </c>
      <c r="E28" s="376">
        <v>0.1330773186567917</v>
      </c>
      <c r="F28" s="376">
        <v>9.7658337262297445E-2</v>
      </c>
      <c r="G28" s="376">
        <v>4.3240126837706949E-3</v>
      </c>
      <c r="H28" s="375">
        <f t="shared" si="5"/>
        <v>110.18032313054879</v>
      </c>
      <c r="I28" s="163">
        <f t="shared" si="5"/>
        <v>116.58251357000627</v>
      </c>
      <c r="J28" s="163">
        <f t="shared" si="5"/>
        <v>133.77537939837757</v>
      </c>
      <c r="K28" s="163">
        <f t="shared" si="5"/>
        <v>169.43697072920085</v>
      </c>
      <c r="L28" s="163">
        <f t="shared" si="5"/>
        <v>84.997598879456248</v>
      </c>
      <c r="M28" s="163">
        <f t="shared" si="5"/>
        <v>168.79844961240312</v>
      </c>
      <c r="N28" s="162">
        <f t="shared" si="1"/>
        <v>0.46572921052631583</v>
      </c>
      <c r="O28" s="162">
        <f t="shared" si="2"/>
        <v>0.42268373322974967</v>
      </c>
      <c r="P28" s="164">
        <f t="shared" si="3"/>
        <v>0.33432689186952413</v>
      </c>
      <c r="Q28" s="165"/>
      <c r="R28" s="166">
        <v>2.9850699999999997E-2</v>
      </c>
      <c r="S28" s="168">
        <f t="shared" si="4"/>
        <v>0.42487081916467706</v>
      </c>
      <c r="T28" s="168">
        <f t="shared" si="4"/>
        <v>-2.7359014272651194E-2</v>
      </c>
      <c r="U28" s="168">
        <f t="shared" si="4"/>
        <v>1.4438769907682891E-2</v>
      </c>
      <c r="V28" s="168">
        <f t="shared" si="4"/>
        <v>0.10023454725698766</v>
      </c>
      <c r="W28" s="168">
        <f t="shared" si="4"/>
        <v>6.5842201459199501E-2</v>
      </c>
      <c r="X28" s="168">
        <f t="shared" si="4"/>
        <v>-2.4786784449657762E-2</v>
      </c>
    </row>
    <row r="29" spans="1:25">
      <c r="A29" s="165">
        <v>1936</v>
      </c>
      <c r="B29" s="376">
        <v>0.31943410275502609</v>
      </c>
      <c r="C29" s="376">
        <v>1.725E-3</v>
      </c>
      <c r="D29" s="376">
        <v>5.0178754045450601E-2</v>
      </c>
      <c r="E29" s="376">
        <v>0.11383815871922703</v>
      </c>
      <c r="F29" s="376">
        <v>3.2186014546704111E-2</v>
      </c>
      <c r="G29" s="376">
        <v>8.61079219288019E-4</v>
      </c>
      <c r="H29" s="375">
        <f t="shared" si="5"/>
        <v>145.37567579101449</v>
      </c>
      <c r="I29" s="163">
        <f t="shared" si="5"/>
        <v>116.78361840591452</v>
      </c>
      <c r="J29" s="163">
        <f t="shared" si="5"/>
        <v>140.4880612585456</v>
      </c>
      <c r="K29" s="163">
        <f t="shared" si="5"/>
        <v>188.72536349597664</v>
      </c>
      <c r="L29" s="163">
        <f t="shared" si="5"/>
        <v>87.733332833425351</v>
      </c>
      <c r="M29" s="163">
        <f t="shared" si="5"/>
        <v>168.94379844961239</v>
      </c>
      <c r="N29" s="162">
        <f t="shared" si="1"/>
        <v>0.31770910275502612</v>
      </c>
      <c r="O29" s="162">
        <f t="shared" si="2"/>
        <v>0.26925534870957551</v>
      </c>
      <c r="P29" s="164">
        <f t="shared" si="3"/>
        <v>0.20559594403579906</v>
      </c>
      <c r="Q29" s="165"/>
      <c r="R29" s="166">
        <v>1.4492799999999998E-2</v>
      </c>
      <c r="S29" s="168">
        <f t="shared" si="4"/>
        <v>0.30058498468892636</v>
      </c>
      <c r="T29" s="168">
        <f t="shared" si="4"/>
        <v>-1.2585402281810154E-2</v>
      </c>
      <c r="U29" s="168">
        <f t="shared" si="4"/>
        <v>3.5176153093891438E-2</v>
      </c>
      <c r="V29" s="168">
        <f t="shared" si="4"/>
        <v>9.7926134832329037E-2</v>
      </c>
      <c r="W29" s="168">
        <f t="shared" si="4"/>
        <v>1.7440453541616163E-2</v>
      </c>
      <c r="X29" s="168">
        <f t="shared" si="4"/>
        <v>-1.3436981298154071E-2</v>
      </c>
    </row>
    <row r="30" spans="1:25">
      <c r="A30" s="165">
        <v>1937</v>
      </c>
      <c r="B30" s="376">
        <v>-0.35336728754365537</v>
      </c>
      <c r="C30" s="376">
        <v>2.7583333333333331E-3</v>
      </c>
      <c r="D30" s="376">
        <v>1.379146059646038E-2</v>
      </c>
      <c r="E30" s="376">
        <v>-4.4161916839982614E-2</v>
      </c>
      <c r="F30" s="376">
        <v>2.5633912223270494E-2</v>
      </c>
      <c r="G30" s="376">
        <v>-2.2942357327214724E-3</v>
      </c>
      <c r="H30" s="375">
        <f t="shared" si="5"/>
        <v>94.004667561917856</v>
      </c>
      <c r="I30" s="163">
        <f t="shared" si="5"/>
        <v>117.10574655335085</v>
      </c>
      <c r="J30" s="163">
        <f t="shared" si="5"/>
        <v>142.42559681966594</v>
      </c>
      <c r="K30" s="163">
        <f t="shared" si="5"/>
        <v>180.39088968767183</v>
      </c>
      <c r="L30" s="163">
        <f t="shared" si="5"/>
        <v>89.982281386332346</v>
      </c>
      <c r="M30" s="163">
        <f t="shared" si="5"/>
        <v>168.55620155038758</v>
      </c>
      <c r="N30" s="162">
        <f t="shared" si="1"/>
        <v>-0.35612562087698868</v>
      </c>
      <c r="O30" s="162">
        <f t="shared" si="2"/>
        <v>-0.36715874814011573</v>
      </c>
      <c r="P30" s="164">
        <f t="shared" si="3"/>
        <v>-0.30920537070367277</v>
      </c>
      <c r="Q30" s="165"/>
      <c r="R30" s="166">
        <v>2.8571399999999997E-2</v>
      </c>
      <c r="S30" s="168">
        <f t="shared" si="4"/>
        <v>-0.37132928987103397</v>
      </c>
      <c r="T30" s="168">
        <f t="shared" si="4"/>
        <v>-2.5096037734149035E-2</v>
      </c>
      <c r="U30" s="168">
        <f t="shared" si="4"/>
        <v>-1.4369385930368517E-2</v>
      </c>
      <c r="V30" s="168">
        <f t="shared" si="4"/>
        <v>-7.0712948892009408E-2</v>
      </c>
      <c r="W30" s="168">
        <f t="shared" si="4"/>
        <v>-2.8558909733727988E-3</v>
      </c>
      <c r="X30" s="168">
        <f t="shared" si="4"/>
        <v>-3.0008257795930748E-2</v>
      </c>
    </row>
    <row r="31" spans="1:25">
      <c r="A31" s="165">
        <v>1938</v>
      </c>
      <c r="B31" s="376">
        <v>0.29282654028436017</v>
      </c>
      <c r="C31" s="376">
        <v>6.4999999999999997E-4</v>
      </c>
      <c r="D31" s="376">
        <v>4.2132485322046068E-2</v>
      </c>
      <c r="E31" s="376">
        <v>9.2358817136874202E-2</v>
      </c>
      <c r="F31" s="376">
        <v>-8.7368136326751999E-3</v>
      </c>
      <c r="G31" s="376">
        <v>1.7246335153779935E-3</v>
      </c>
      <c r="H31" s="375">
        <f t="shared" si="5"/>
        <v>121.53172913465568</v>
      </c>
      <c r="I31" s="163">
        <f t="shared" si="5"/>
        <v>117.18186528861054</v>
      </c>
      <c r="J31" s="163">
        <f t="shared" si="5"/>
        <v>148.42634118715418</v>
      </c>
      <c r="K31" s="163">
        <f t="shared" si="5"/>
        <v>197.05157888149355</v>
      </c>
      <c r="L31" s="163">
        <f t="shared" si="5"/>
        <v>89.196122963617029</v>
      </c>
      <c r="M31" s="163">
        <f t="shared" si="5"/>
        <v>168.84689922480618</v>
      </c>
      <c r="N31" s="162">
        <f t="shared" si="1"/>
        <v>0.29217654028436019</v>
      </c>
      <c r="O31" s="162">
        <f t="shared" si="2"/>
        <v>0.25069405496231412</v>
      </c>
      <c r="P31" s="164">
        <f t="shared" si="3"/>
        <v>0.20046772314748595</v>
      </c>
      <c r="Q31" s="165"/>
      <c r="R31" s="166">
        <v>-2.7777799999999998E-2</v>
      </c>
      <c r="S31" s="168">
        <f t="shared" si="4"/>
        <v>0.32976447182995838</v>
      </c>
      <c r="T31" s="168">
        <f t="shared" si="4"/>
        <v>2.9240023525486158E-2</v>
      </c>
      <c r="U31" s="168">
        <f t="shared" si="4"/>
        <v>7.1907723689138336E-2</v>
      </c>
      <c r="V31" s="168">
        <f t="shared" si="4"/>
        <v>0.12356909473664968</v>
      </c>
      <c r="W31" s="168">
        <f t="shared" si="4"/>
        <v>1.9585014996905903E-2</v>
      </c>
      <c r="X31" s="168">
        <f t="shared" si="4"/>
        <v>3.0345360880854155E-2</v>
      </c>
    </row>
    <row r="32" spans="1:25">
      <c r="A32" s="165">
        <v>1939</v>
      </c>
      <c r="B32" s="376">
        <v>-1.0975646879756443E-2</v>
      </c>
      <c r="C32" s="376">
        <v>4.5833333333333332E-4</v>
      </c>
      <c r="D32" s="376">
        <v>4.4122613942060671E-2</v>
      </c>
      <c r="E32" s="376">
        <v>7.9831377653461405E-2</v>
      </c>
      <c r="F32" s="376">
        <v>-1.3016072256937905E-2</v>
      </c>
      <c r="G32" s="376">
        <v>-1.2338593974175027E-2</v>
      </c>
      <c r="H32" s="375">
        <f t="shared" si="5"/>
        <v>120.19783979098749</v>
      </c>
      <c r="I32" s="163">
        <f t="shared" si="5"/>
        <v>117.23557364353447</v>
      </c>
      <c r="J32" s="163">
        <f t="shared" si="5"/>
        <v>154.97529933818757</v>
      </c>
      <c r="K32" s="163">
        <f t="shared" si="5"/>
        <v>212.7824778923929</v>
      </c>
      <c r="L32" s="163">
        <f t="shared" si="5"/>
        <v>88.035139782083874</v>
      </c>
      <c r="M32" s="163">
        <f t="shared" si="5"/>
        <v>166.76356589147284</v>
      </c>
      <c r="N32" s="162">
        <f t="shared" si="1"/>
        <v>-1.1433980213089777E-2</v>
      </c>
      <c r="O32" s="162">
        <f t="shared" si="2"/>
        <v>-5.509826082181711E-2</v>
      </c>
      <c r="P32" s="164">
        <f t="shared" si="3"/>
        <v>-9.0807024533217845E-2</v>
      </c>
      <c r="Q32" s="165"/>
      <c r="R32" s="166">
        <v>0</v>
      </c>
      <c r="S32" s="168">
        <f t="shared" si="4"/>
        <v>-1.0975646879756495E-2</v>
      </c>
      <c r="T32" s="168">
        <f t="shared" si="4"/>
        <v>4.5833333333322734E-4</v>
      </c>
      <c r="U32" s="168">
        <f t="shared" si="4"/>
        <v>4.412261394206074E-2</v>
      </c>
      <c r="V32" s="168">
        <f t="shared" si="4"/>
        <v>7.9831377653461377E-2</v>
      </c>
      <c r="W32" s="168">
        <f t="shared" si="4"/>
        <v>-1.3016072256937905E-2</v>
      </c>
      <c r="X32" s="168">
        <f t="shared" si="4"/>
        <v>-1.2338593974175027E-2</v>
      </c>
    </row>
    <row r="33" spans="1:24">
      <c r="A33" s="165">
        <v>1940</v>
      </c>
      <c r="B33" s="376">
        <v>-0.10672873194221515</v>
      </c>
      <c r="C33" s="376">
        <v>3.5833333333333333E-4</v>
      </c>
      <c r="D33" s="376">
        <v>5.4024815962845509E-2</v>
      </c>
      <c r="E33" s="376">
        <v>8.6481371775829569E-2</v>
      </c>
      <c r="F33" s="376">
        <v>3.306607685927565E-2</v>
      </c>
      <c r="G33" s="376">
        <v>-1.6560139453805967E-2</v>
      </c>
      <c r="H33" s="375">
        <f t="shared" si="5"/>
        <v>107.36927676790187</v>
      </c>
      <c r="I33" s="163">
        <f t="shared" si="5"/>
        <v>117.27758305742339</v>
      </c>
      <c r="J33" s="163">
        <f t="shared" si="5"/>
        <v>163.34781136372007</v>
      </c>
      <c r="K33" s="163">
        <f t="shared" si="5"/>
        <v>231.18419847038714</v>
      </c>
      <c r="L33" s="163">
        <f t="shared" si="5"/>
        <v>90.946116480435336</v>
      </c>
      <c r="M33" s="163">
        <f t="shared" si="5"/>
        <v>164.0019379844961</v>
      </c>
      <c r="N33" s="162">
        <f t="shared" si="1"/>
        <v>-0.10708706527554848</v>
      </c>
      <c r="O33" s="162">
        <f t="shared" si="2"/>
        <v>-0.16075354790506066</v>
      </c>
      <c r="P33" s="164">
        <f t="shared" si="3"/>
        <v>-0.1932101037180447</v>
      </c>
      <c r="Q33" s="165"/>
      <c r="R33" s="166">
        <v>7.1428999999999998E-3</v>
      </c>
      <c r="S33" s="168">
        <f t="shared" si="4"/>
        <v>-0.1130640269044394</v>
      </c>
      <c r="T33" s="168">
        <f t="shared" si="4"/>
        <v>-6.7364488859196214E-3</v>
      </c>
      <c r="U33" s="168">
        <f t="shared" si="4"/>
        <v>4.6549418124126607E-2</v>
      </c>
      <c r="V33" s="168">
        <f t="shared" si="4"/>
        <v>7.8775784226676748E-2</v>
      </c>
      <c r="W33" s="168">
        <f t="shared" si="4"/>
        <v>2.5739323445834295E-2</v>
      </c>
      <c r="X33" s="168">
        <f t="shared" si="4"/>
        <v>-2.3534931789526592E-2</v>
      </c>
    </row>
    <row r="34" spans="1:24">
      <c r="A34" s="165">
        <v>1941</v>
      </c>
      <c r="B34" s="376">
        <v>-0.12771455576559551</v>
      </c>
      <c r="C34" s="376">
        <v>1.2916666666666669E-3</v>
      </c>
      <c r="D34" s="376">
        <v>-2.0221975848580105E-2</v>
      </c>
      <c r="E34" s="376">
        <v>5.0071728572759232E-2</v>
      </c>
      <c r="F34" s="376">
        <v>-8.384627736444894E-2</v>
      </c>
      <c r="G34" s="376">
        <v>0</v>
      </c>
      <c r="H34" s="375">
        <f t="shared" si="5"/>
        <v>93.656657282615996</v>
      </c>
      <c r="I34" s="163">
        <f t="shared" si="5"/>
        <v>117.42906660220589</v>
      </c>
      <c r="J34" s="163">
        <f t="shared" si="5"/>
        <v>160.0445958674045</v>
      </c>
      <c r="K34" s="163">
        <f t="shared" si="5"/>
        <v>242.75999090650726</v>
      </c>
      <c r="L34" s="163">
        <f t="shared" si="5"/>
        <v>83.320623172797269</v>
      </c>
      <c r="M34" s="163">
        <f t="shared" si="5"/>
        <v>164.0019379844961</v>
      </c>
      <c r="N34" s="162">
        <f t="shared" si="1"/>
        <v>-0.12900622243226217</v>
      </c>
      <c r="O34" s="162">
        <f t="shared" si="2"/>
        <v>-0.10749257991701541</v>
      </c>
      <c r="P34" s="164">
        <f t="shared" si="3"/>
        <v>-0.17778628433835475</v>
      </c>
      <c r="Q34" s="165"/>
      <c r="R34" s="166">
        <v>9.9290800000000012E-2</v>
      </c>
      <c r="S34" s="168">
        <f t="shared" si="4"/>
        <v>-0.20650164248222169</v>
      </c>
      <c r="T34" s="168">
        <f t="shared" si="4"/>
        <v>-8.9147597099269116E-2</v>
      </c>
      <c r="U34" s="168">
        <f t="shared" si="4"/>
        <v>-0.10871807154993018</v>
      </c>
      <c r="V34" s="168">
        <f t="shared" si="4"/>
        <v>-4.4773477070162548E-2</v>
      </c>
      <c r="W34" s="168">
        <f t="shared" si="4"/>
        <v>-0.16659566091560929</v>
      </c>
      <c r="X34" s="168">
        <f t="shared" si="4"/>
        <v>-9.0322597078043354E-2</v>
      </c>
    </row>
    <row r="35" spans="1:24">
      <c r="A35" s="165">
        <v>1942</v>
      </c>
      <c r="B35" s="376">
        <v>0.19173762945914843</v>
      </c>
      <c r="C35" s="376">
        <v>3.4250000000000001E-3</v>
      </c>
      <c r="D35" s="376">
        <v>2.2948682374484164E-2</v>
      </c>
      <c r="E35" s="376">
        <v>5.1799010426587015E-2</v>
      </c>
      <c r="F35" s="376">
        <v>3.3330412175386348E-2</v>
      </c>
      <c r="G35" s="376">
        <v>0</v>
      </c>
      <c r="H35" s="375">
        <f t="shared" si="5"/>
        <v>111.61416273305268</v>
      </c>
      <c r="I35" s="163">
        <f t="shared" si="5"/>
        <v>117.83126115531844</v>
      </c>
      <c r="J35" s="163">
        <f t="shared" si="5"/>
        <v>163.71740846371824</v>
      </c>
      <c r="K35" s="163">
        <f t="shared" si="5"/>
        <v>255.33471820663161</v>
      </c>
      <c r="L35" s="163">
        <f t="shared" si="5"/>
        <v>86.097733885856655</v>
      </c>
      <c r="M35" s="163">
        <f t="shared" si="5"/>
        <v>164.0019379844961</v>
      </c>
      <c r="N35" s="162">
        <f t="shared" si="1"/>
        <v>0.18831262945914842</v>
      </c>
      <c r="O35" s="162">
        <f t="shared" si="2"/>
        <v>0.16878894708466427</v>
      </c>
      <c r="P35" s="164">
        <f t="shared" si="3"/>
        <v>0.13993861903256141</v>
      </c>
      <c r="Q35" s="165"/>
      <c r="R35" s="166">
        <v>9.0322600000000003E-2</v>
      </c>
      <c r="S35" s="168">
        <f t="shared" si="4"/>
        <v>9.3013782764063135E-2</v>
      </c>
      <c r="T35" s="168">
        <f t="shared" si="4"/>
        <v>-7.9698980833745825E-2</v>
      </c>
      <c r="U35" s="168">
        <f t="shared" si="4"/>
        <v>-6.1792645246017797E-2</v>
      </c>
      <c r="V35" s="168">
        <f t="shared" si="4"/>
        <v>-3.5332285667941665E-2</v>
      </c>
      <c r="W35" s="168">
        <f t="shared" si="4"/>
        <v>-5.2270940568060809E-2</v>
      </c>
      <c r="X35" s="168">
        <f t="shared" si="4"/>
        <v>-8.2840252967332773E-2</v>
      </c>
    </row>
    <row r="36" spans="1:24">
      <c r="A36" s="165">
        <v>1943</v>
      </c>
      <c r="B36" s="376">
        <v>0.25061310133060394</v>
      </c>
      <c r="C36" s="376">
        <v>3.8E-3</v>
      </c>
      <c r="D36" s="376">
        <v>2.4899999999999999E-2</v>
      </c>
      <c r="E36" s="376">
        <v>8.044670060105924E-2</v>
      </c>
      <c r="F36" s="376">
        <v>0.11446259964945993</v>
      </c>
      <c r="G36" s="376">
        <v>0</v>
      </c>
      <c r="H36" s="375">
        <f t="shared" si="5"/>
        <v>139.58613420800171</v>
      </c>
      <c r="I36" s="163">
        <f t="shared" si="5"/>
        <v>118.27901994770866</v>
      </c>
      <c r="J36" s="163">
        <f t="shared" si="5"/>
        <v>167.79397193446482</v>
      </c>
      <c r="K36" s="163">
        <f t="shared" si="5"/>
        <v>275.87555383525631</v>
      </c>
      <c r="L36" s="163">
        <f t="shared" si="5"/>
        <v>95.952704330359211</v>
      </c>
      <c r="M36" s="163">
        <f t="shared" si="5"/>
        <v>164.0019379844961</v>
      </c>
      <c r="N36" s="162">
        <f t="shared" si="1"/>
        <v>0.24681310133060394</v>
      </c>
      <c r="O36" s="162">
        <f t="shared" si="2"/>
        <v>0.22571310133060393</v>
      </c>
      <c r="P36" s="164">
        <f t="shared" si="3"/>
        <v>0.1701664007295447</v>
      </c>
      <c r="Q36" s="165"/>
      <c r="R36" s="166">
        <v>2.9585799999999999E-2</v>
      </c>
      <c r="S36" s="168">
        <f t="shared" si="4"/>
        <v>0.21467594185021199</v>
      </c>
      <c r="T36" s="168">
        <f t="shared" si="4"/>
        <v>-2.504482870684499E-2</v>
      </c>
      <c r="U36" s="168">
        <f t="shared" si="4"/>
        <v>-4.5511505694815213E-3</v>
      </c>
      <c r="V36" s="168">
        <f t="shared" si="4"/>
        <v>4.9399380412064042E-2</v>
      </c>
      <c r="W36" s="168">
        <f t="shared" si="4"/>
        <v>8.2437811059029587E-2</v>
      </c>
      <c r="X36" s="168">
        <f t="shared" si="4"/>
        <v>-2.873563330030382E-2</v>
      </c>
    </row>
    <row r="37" spans="1:24">
      <c r="A37" s="165">
        <v>1944</v>
      </c>
      <c r="B37" s="376">
        <v>0.19030676949443009</v>
      </c>
      <c r="C37" s="376">
        <v>3.8E-3</v>
      </c>
      <c r="D37" s="376">
        <v>2.5776111579070303E-2</v>
      </c>
      <c r="E37" s="376">
        <v>6.5658635882561697E-2</v>
      </c>
      <c r="F37" s="376">
        <v>0.16584227481419478</v>
      </c>
      <c r="G37" s="376">
        <v>0</v>
      </c>
      <c r="H37" s="375">
        <f t="shared" si="5"/>
        <v>166.15032047534245</v>
      </c>
      <c r="I37" s="163">
        <f t="shared" si="5"/>
        <v>118.72848022350996</v>
      </c>
      <c r="J37" s="163">
        <f t="shared" si="5"/>
        <v>172.11904807734297</v>
      </c>
      <c r="K37" s="163">
        <f t="shared" si="5"/>
        <v>293.98916637342546</v>
      </c>
      <c r="L37" s="163">
        <f t="shared" si="5"/>
        <v>111.86571909107982</v>
      </c>
      <c r="M37" s="163">
        <f t="shared" si="5"/>
        <v>164.0019379844961</v>
      </c>
      <c r="N37" s="162">
        <f t="shared" si="1"/>
        <v>0.1865067694944301</v>
      </c>
      <c r="O37" s="162">
        <f t="shared" si="2"/>
        <v>0.16453065791535978</v>
      </c>
      <c r="P37" s="164">
        <f t="shared" si="3"/>
        <v>0.1246481336118684</v>
      </c>
      <c r="Q37" s="165"/>
      <c r="R37" s="166">
        <v>2.2988499999999999E-2</v>
      </c>
      <c r="S37" s="168">
        <f t="shared" si="4"/>
        <v>0.16355830930106241</v>
      </c>
      <c r="T37" s="168">
        <f t="shared" si="4"/>
        <v>-1.8757297858187139E-2</v>
      </c>
      <c r="U37" s="168">
        <f t="shared" si="4"/>
        <v>2.7249686375458992E-3</v>
      </c>
      <c r="V37" s="168">
        <f t="shared" si="4"/>
        <v>4.171125665885933E-2</v>
      </c>
      <c r="W37" s="168">
        <f t="shared" si="4"/>
        <v>0.13964357841187325</v>
      </c>
      <c r="X37" s="168">
        <f t="shared" si="4"/>
        <v>-2.2471904620628758E-2</v>
      </c>
    </row>
    <row r="38" spans="1:24">
      <c r="A38" s="165">
        <v>1945</v>
      </c>
      <c r="B38" s="376">
        <v>0.35821084337349401</v>
      </c>
      <c r="C38" s="376">
        <v>3.8E-3</v>
      </c>
      <c r="D38" s="376">
        <v>3.8044173419237229E-2</v>
      </c>
      <c r="E38" s="376">
        <v>6.799865477817886E-2</v>
      </c>
      <c r="F38" s="376">
        <v>0.11777376471356127</v>
      </c>
      <c r="G38" s="376">
        <v>2.5406203840472763E-2</v>
      </c>
      <c r="H38" s="375">
        <f t="shared" ref="H38:M53" si="6">H37*(1+B38)</f>
        <v>225.66716689959119</v>
      </c>
      <c r="I38" s="163">
        <f t="shared" si="6"/>
        <v>119.1796484483593</v>
      </c>
      <c r="J38" s="163">
        <f t="shared" si="6"/>
        <v>178.66717499115143</v>
      </c>
      <c r="K38" s="163">
        <f t="shared" si="6"/>
        <v>313.98003420617658</v>
      </c>
      <c r="L38" s="163">
        <f t="shared" si="6"/>
        <v>125.04056597082599</v>
      </c>
      <c r="M38" s="163">
        <f t="shared" si="6"/>
        <v>168.16860465116278</v>
      </c>
      <c r="N38" s="162">
        <f t="shared" si="1"/>
        <v>0.35441084337349399</v>
      </c>
      <c r="O38" s="162">
        <f t="shared" si="2"/>
        <v>0.3201666699542568</v>
      </c>
      <c r="P38" s="164">
        <f t="shared" si="3"/>
        <v>0.29021218859531517</v>
      </c>
      <c r="Q38" s="165"/>
      <c r="R38" s="166">
        <v>2.24719E-2</v>
      </c>
      <c r="S38" s="168">
        <f t="shared" si="4"/>
        <v>0.32836006874467061</v>
      </c>
      <c r="T38" s="168">
        <f t="shared" si="4"/>
        <v>-1.8261528752037015E-2</v>
      </c>
      <c r="U38" s="168">
        <f t="shared" si="4"/>
        <v>1.5230025802408065E-2</v>
      </c>
      <c r="V38" s="168">
        <f t="shared" si="4"/>
        <v>4.4526167201444755E-2</v>
      </c>
      <c r="W38" s="168">
        <f t="shared" si="4"/>
        <v>9.320731915817082E-2</v>
      </c>
      <c r="X38" s="168">
        <f t="shared" si="4"/>
        <v>2.8698136745595182E-3</v>
      </c>
    </row>
    <row r="39" spans="1:24">
      <c r="A39" s="165">
        <v>1946</v>
      </c>
      <c r="B39" s="376">
        <v>-8.4291474654377807E-2</v>
      </c>
      <c r="C39" s="376">
        <v>3.8E-3</v>
      </c>
      <c r="D39" s="376">
        <v>3.1283745375695685E-2</v>
      </c>
      <c r="E39" s="376">
        <v>2.5080329773195936E-2</v>
      </c>
      <c r="F39" s="376">
        <v>0.24101685677580131</v>
      </c>
      <c r="G39" s="376">
        <v>0</v>
      </c>
      <c r="H39" s="375">
        <f t="shared" si="6"/>
        <v>206.64534862054904</v>
      </c>
      <c r="I39" s="163">
        <f t="shared" si="6"/>
        <v>119.63253111246307</v>
      </c>
      <c r="J39" s="163">
        <f t="shared" si="6"/>
        <v>184.25655340056949</v>
      </c>
      <c r="K39" s="163">
        <f t="shared" si="6"/>
        <v>321.85475700626682</v>
      </c>
      <c r="L39" s="163">
        <f t="shared" si="6"/>
        <v>155.17745015058171</v>
      </c>
      <c r="M39" s="163">
        <f t="shared" si="6"/>
        <v>168.16860465116278</v>
      </c>
      <c r="N39" s="162">
        <f t="shared" si="1"/>
        <v>-8.8091474654377805E-2</v>
      </c>
      <c r="O39" s="162">
        <f t="shared" si="2"/>
        <v>-0.11557522003007349</v>
      </c>
      <c r="P39" s="164">
        <f t="shared" si="3"/>
        <v>-0.10937180442757374</v>
      </c>
      <c r="Q39" s="165"/>
      <c r="R39" s="166">
        <v>0.1813187</v>
      </c>
      <c r="S39" s="168">
        <f t="shared" si="4"/>
        <v>-0.22484209777969133</v>
      </c>
      <c r="T39" s="168">
        <f t="shared" si="4"/>
        <v>-0.15027164134454152</v>
      </c>
      <c r="U39" s="168">
        <f t="shared" si="4"/>
        <v>-0.12700633167349695</v>
      </c>
      <c r="V39" s="168">
        <f t="shared" si="4"/>
        <v>-0.13225759503070944</v>
      </c>
      <c r="W39" s="168">
        <f t="shared" si="4"/>
        <v>5.0535183076168444E-2</v>
      </c>
      <c r="X39" s="168">
        <f t="shared" si="4"/>
        <v>-0.15348838547971855</v>
      </c>
    </row>
    <row r="40" spans="1:24">
      <c r="A40" s="165">
        <v>1947</v>
      </c>
      <c r="B40" s="376">
        <v>5.1999999999999998E-2</v>
      </c>
      <c r="C40" s="376">
        <v>6.0083333333333334E-3</v>
      </c>
      <c r="D40" s="376">
        <v>9.1969680628322358E-3</v>
      </c>
      <c r="E40" s="376">
        <v>2.6212022665691934E-3</v>
      </c>
      <c r="F40" s="376">
        <v>0.2126388104648973</v>
      </c>
      <c r="G40" s="376">
        <v>0</v>
      </c>
      <c r="H40" s="375">
        <f t="shared" si="6"/>
        <v>217.3909067488176</v>
      </c>
      <c r="I40" s="163">
        <f t="shared" si="6"/>
        <v>120.35132323689713</v>
      </c>
      <c r="J40" s="163">
        <f t="shared" si="6"/>
        <v>185.95115503756207</v>
      </c>
      <c r="K40" s="163">
        <f t="shared" si="6"/>
        <v>322.69840342483775</v>
      </c>
      <c r="L40" s="163">
        <f t="shared" si="6"/>
        <v>188.1741985615773</v>
      </c>
      <c r="M40" s="163">
        <f t="shared" si="6"/>
        <v>168.16860465116278</v>
      </c>
      <c r="N40" s="162">
        <f t="shared" si="1"/>
        <v>4.5991666666666667E-2</v>
      </c>
      <c r="O40" s="162">
        <f t="shared" si="2"/>
        <v>4.2803031937167765E-2</v>
      </c>
      <c r="P40" s="164">
        <f t="shared" si="3"/>
        <v>4.9378797733430804E-2</v>
      </c>
      <c r="Q40" s="165"/>
      <c r="R40" s="166">
        <v>8.8372100000000009E-2</v>
      </c>
      <c r="S40" s="168">
        <f t="shared" si="4"/>
        <v>-3.3418809614836564E-2</v>
      </c>
      <c r="T40" s="168">
        <f t="shared" si="4"/>
        <v>-7.5676109913757061E-2</v>
      </c>
      <c r="U40" s="168">
        <f t="shared" si="4"/>
        <v>-7.2746381441758379E-2</v>
      </c>
      <c r="V40" s="168">
        <f t="shared" si="4"/>
        <v>-7.8788217497885782E-2</v>
      </c>
      <c r="W40" s="168">
        <f t="shared" si="4"/>
        <v>0.11417667768670059</v>
      </c>
      <c r="X40" s="168">
        <f t="shared" si="4"/>
        <v>-8.1196587086346583E-2</v>
      </c>
    </row>
    <row r="41" spans="1:24">
      <c r="A41" s="165">
        <v>1948</v>
      </c>
      <c r="B41" s="376">
        <v>5.7045751633986834E-2</v>
      </c>
      <c r="C41" s="376">
        <v>1.0449999999999999E-2</v>
      </c>
      <c r="D41" s="376">
        <v>1.9510369413175046E-2</v>
      </c>
      <c r="E41" s="376">
        <v>3.4369595605103213E-2</v>
      </c>
      <c r="F41" s="376">
        <v>2.0585153855108507E-2</v>
      </c>
      <c r="G41" s="376">
        <v>0</v>
      </c>
      <c r="H41" s="375">
        <f t="shared" si="6"/>
        <v>229.79213442269784</v>
      </c>
      <c r="I41" s="163">
        <f t="shared" si="6"/>
        <v>121.60899456472271</v>
      </c>
      <c r="J41" s="163">
        <f t="shared" si="6"/>
        <v>189.57913076515149</v>
      </c>
      <c r="K41" s="163">
        <f t="shared" si="6"/>
        <v>333.78941705296182</v>
      </c>
      <c r="L41" s="163">
        <f t="shared" si="6"/>
        <v>192.04779339052911</v>
      </c>
      <c r="M41" s="163">
        <f t="shared" si="6"/>
        <v>168.16860465116278</v>
      </c>
      <c r="N41" s="162">
        <f t="shared" si="1"/>
        <v>4.6595751633986833E-2</v>
      </c>
      <c r="O41" s="162">
        <f t="shared" si="2"/>
        <v>3.7535382220811792E-2</v>
      </c>
      <c r="P41" s="164">
        <f t="shared" si="3"/>
        <v>2.2676156028883621E-2</v>
      </c>
      <c r="Q41" s="165"/>
      <c r="R41" s="166">
        <v>2.7338700000000001E-2</v>
      </c>
      <c r="S41" s="168">
        <f t="shared" si="4"/>
        <v>2.8916511793030564E-2</v>
      </c>
      <c r="T41" s="168">
        <f t="shared" si="4"/>
        <v>-1.6439271683233558E-2</v>
      </c>
      <c r="U41" s="168">
        <f t="shared" si="4"/>
        <v>-7.620009434887387E-3</v>
      </c>
      <c r="V41" s="168">
        <f t="shared" si="4"/>
        <v>6.8437951428317323E-3</v>
      </c>
      <c r="W41" s="168">
        <f t="shared" si="4"/>
        <v>-6.5738262803606284E-3</v>
      </c>
      <c r="X41" s="168">
        <f t="shared" si="4"/>
        <v>-2.6611184802052157E-2</v>
      </c>
    </row>
    <row r="42" spans="1:24">
      <c r="A42" s="165">
        <v>1949</v>
      </c>
      <c r="B42" s="376">
        <v>0.18303223684210526</v>
      </c>
      <c r="C42" s="376">
        <v>1.115E-2</v>
      </c>
      <c r="D42" s="376">
        <v>4.6634851827973139E-2</v>
      </c>
      <c r="E42" s="376">
        <v>5.3773011179658936E-2</v>
      </c>
      <c r="F42" s="376">
        <v>8.9348516244314169E-4</v>
      </c>
      <c r="G42" s="376">
        <v>-8.7006626332469028E-2</v>
      </c>
      <c r="H42" s="375">
        <f t="shared" si="6"/>
        <v>271.85150279480598</v>
      </c>
      <c r="I42" s="163">
        <f t="shared" si="6"/>
        <v>122.96493485411936</v>
      </c>
      <c r="J42" s="163">
        <f t="shared" si="6"/>
        <v>198.42012543806027</v>
      </c>
      <c r="K42" s="163">
        <f t="shared" si="6"/>
        <v>351.73827910780261</v>
      </c>
      <c r="L42" s="163">
        <f t="shared" si="6"/>
        <v>192.2193852444035</v>
      </c>
      <c r="M42" s="163">
        <f t="shared" si="6"/>
        <v>153.53682170542635</v>
      </c>
      <c r="N42" s="162">
        <f t="shared" si="1"/>
        <v>0.17188223684210527</v>
      </c>
      <c r="O42" s="162">
        <f t="shared" si="2"/>
        <v>0.13639738501413212</v>
      </c>
      <c r="P42" s="164">
        <f t="shared" si="3"/>
        <v>0.12925922566244633</v>
      </c>
      <c r="Q42" s="165"/>
      <c r="R42" s="166">
        <v>-1.8295200000000001E-2</v>
      </c>
      <c r="S42" s="168">
        <f t="shared" si="4"/>
        <v>0.20507940558312976</v>
      </c>
      <c r="T42" s="168">
        <f t="shared" si="4"/>
        <v>2.9993945226711727E-2</v>
      </c>
      <c r="U42" s="168">
        <f t="shared" si="4"/>
        <v>6.614009815167754E-2</v>
      </c>
      <c r="V42" s="168">
        <f t="shared" si="4"/>
        <v>7.3411285326973053E-2</v>
      </c>
      <c r="W42" s="168">
        <f t="shared" si="4"/>
        <v>1.954628841831374E-2</v>
      </c>
      <c r="X42" s="168">
        <f t="shared" si="4"/>
        <v>-6.9991942926701634E-2</v>
      </c>
    </row>
    <row r="43" spans="1:24">
      <c r="A43" s="165">
        <v>1950</v>
      </c>
      <c r="B43" s="376">
        <v>0.30805539011316263</v>
      </c>
      <c r="C43" s="376">
        <v>1.2033333333333333E-2</v>
      </c>
      <c r="D43" s="376">
        <v>4.2959574171096103E-3</v>
      </c>
      <c r="E43" s="376">
        <v>4.2388173056720914E-2</v>
      </c>
      <c r="F43" s="376">
        <v>3.6403925292814332E-2</v>
      </c>
      <c r="G43" s="376">
        <v>9.5613758283370043E-2</v>
      </c>
      <c r="H43" s="375">
        <f t="shared" si="6"/>
        <v>355.59682354110947</v>
      </c>
      <c r="I43" s="163">
        <f t="shared" si="6"/>
        <v>124.4446129035306</v>
      </c>
      <c r="J43" s="163">
        <f t="shared" si="6"/>
        <v>199.2725298476397</v>
      </c>
      <c r="K43" s="163">
        <f t="shared" si="6"/>
        <v>366.64782215329734</v>
      </c>
      <c r="L43" s="163">
        <f t="shared" si="6"/>
        <v>199.21692538467147</v>
      </c>
      <c r="M43" s="163">
        <f t="shared" si="6"/>
        <v>168.21705426356587</v>
      </c>
      <c r="N43" s="162">
        <f t="shared" si="1"/>
        <v>0.29602205677982929</v>
      </c>
      <c r="O43" s="162">
        <f t="shared" si="2"/>
        <v>0.30375943269605304</v>
      </c>
      <c r="P43" s="164">
        <f t="shared" si="3"/>
        <v>0.2656672170564417</v>
      </c>
      <c r="Q43" s="165"/>
      <c r="R43" s="166">
        <v>5.8026299999999996E-2</v>
      </c>
      <c r="S43" s="168">
        <f t="shared" si="4"/>
        <v>0.2363165170026138</v>
      </c>
      <c r="T43" s="168">
        <f t="shared" si="4"/>
        <v>-4.3470532506296622E-2</v>
      </c>
      <c r="U43" s="168">
        <f t="shared" si="4"/>
        <v>-5.0783560468100397E-2</v>
      </c>
      <c r="V43" s="168">
        <f t="shared" si="4"/>
        <v>-1.4780470904437126E-2</v>
      </c>
      <c r="W43" s="168">
        <f t="shared" si="4"/>
        <v>-2.0436519117895013E-2</v>
      </c>
      <c r="X43" s="168">
        <f t="shared" si="4"/>
        <v>3.5526015074833106E-2</v>
      </c>
    </row>
    <row r="44" spans="1:24">
      <c r="A44" s="165">
        <v>1951</v>
      </c>
      <c r="B44" s="376">
        <v>0.23678463044542339</v>
      </c>
      <c r="C44" s="376">
        <v>1.5175000000000001E-2</v>
      </c>
      <c r="D44" s="376">
        <v>-2.9531392208319886E-3</v>
      </c>
      <c r="E44" s="376">
        <v>-1.9098091301369691E-3</v>
      </c>
      <c r="F44" s="376">
        <v>6.0476481368356705E-2</v>
      </c>
      <c r="G44" s="376">
        <v>0</v>
      </c>
      <c r="H44" s="375">
        <f t="shared" si="6"/>
        <v>439.7966859908575</v>
      </c>
      <c r="I44" s="163">
        <f t="shared" si="6"/>
        <v>126.33305990434167</v>
      </c>
      <c r="J44" s="163">
        <f t="shared" si="6"/>
        <v>198.68405032411223</v>
      </c>
      <c r="K44" s="163">
        <f t="shared" si="6"/>
        <v>365.94759479500414</v>
      </c>
      <c r="L44" s="163">
        <f t="shared" si="6"/>
        <v>211.26486406095887</v>
      </c>
      <c r="M44" s="163">
        <f t="shared" si="6"/>
        <v>168.21705426356587</v>
      </c>
      <c r="N44" s="162">
        <f t="shared" si="1"/>
        <v>0.22160963044542339</v>
      </c>
      <c r="O44" s="162">
        <f t="shared" si="2"/>
        <v>0.23973776966625537</v>
      </c>
      <c r="P44" s="164">
        <f t="shared" si="3"/>
        <v>0.23869443957556036</v>
      </c>
      <c r="Q44" s="165"/>
      <c r="R44" s="166">
        <v>5.9647699999999998E-2</v>
      </c>
      <c r="S44" s="168">
        <f t="shared" si="4"/>
        <v>0.16716587073743794</v>
      </c>
      <c r="T44" s="168">
        <f t="shared" si="4"/>
        <v>-4.196932622040328E-2</v>
      </c>
      <c r="U44" s="168">
        <f t="shared" si="4"/>
        <v>-5.9077030243949835E-2</v>
      </c>
      <c r="V44" s="168">
        <f t="shared" si="4"/>
        <v>-5.8092429333010287E-2</v>
      </c>
      <c r="W44" s="168">
        <f t="shared" si="4"/>
        <v>7.8212916269881916E-4</v>
      </c>
      <c r="X44" s="168">
        <f t="shared" si="4"/>
        <v>-5.6290123594851305E-2</v>
      </c>
    </row>
    <row r="45" spans="1:24">
      <c r="A45" s="165">
        <v>1952</v>
      </c>
      <c r="B45" s="376">
        <v>0.18150988641144306</v>
      </c>
      <c r="C45" s="376">
        <v>1.7225000000000001E-2</v>
      </c>
      <c r="D45" s="376">
        <v>2.2679961918305656E-2</v>
      </c>
      <c r="E45" s="376">
        <v>4.4412415047400768E-2</v>
      </c>
      <c r="F45" s="376">
        <v>4.4066820276497776E-2</v>
      </c>
      <c r="G45" s="376">
        <v>-3.4562211981565838E-3</v>
      </c>
      <c r="H45" s="375">
        <f t="shared" si="6"/>
        <v>519.62413250918712</v>
      </c>
      <c r="I45" s="163">
        <f t="shared" si="6"/>
        <v>128.50914686119395</v>
      </c>
      <c r="J45" s="163">
        <f t="shared" si="6"/>
        <v>203.19019701923781</v>
      </c>
      <c r="K45" s="163">
        <f t="shared" si="6"/>
        <v>382.2002112606379</v>
      </c>
      <c r="L45" s="163">
        <f t="shared" si="6"/>
        <v>220.57463485627187</v>
      </c>
      <c r="M45" s="163">
        <f t="shared" si="6"/>
        <v>167.63565891472868</v>
      </c>
      <c r="N45" s="162">
        <f t="shared" si="1"/>
        <v>0.16428488641144307</v>
      </c>
      <c r="O45" s="162">
        <f t="shared" si="2"/>
        <v>0.1588299244931374</v>
      </c>
      <c r="P45" s="164">
        <f t="shared" si="3"/>
        <v>0.13709747136404229</v>
      </c>
      <c r="Q45" s="165"/>
      <c r="R45" s="166">
        <v>9.0668999999999993E-3</v>
      </c>
      <c r="S45" s="168">
        <f t="shared" si="4"/>
        <v>0.17089351202724323</v>
      </c>
      <c r="T45" s="168">
        <f t="shared" si="4"/>
        <v>8.0847959634786637E-3</v>
      </c>
      <c r="U45" s="168">
        <f t="shared" si="4"/>
        <v>1.3490742703289094E-2</v>
      </c>
      <c r="V45" s="168">
        <f t="shared" si="4"/>
        <v>3.5027920395962475E-2</v>
      </c>
      <c r="W45" s="168">
        <f t="shared" si="4"/>
        <v>3.4685430942683393E-2</v>
      </c>
      <c r="X45" s="168">
        <f t="shared" si="4"/>
        <v>-1.2410595569190441E-2</v>
      </c>
    </row>
    <row r="46" spans="1:24">
      <c r="A46" s="165">
        <v>1953</v>
      </c>
      <c r="B46" s="376">
        <v>-1.2082047421904465E-2</v>
      </c>
      <c r="C46" s="376">
        <v>1.8908333333333333E-2</v>
      </c>
      <c r="D46" s="376">
        <v>4.1438402589088513E-2</v>
      </c>
      <c r="E46" s="376">
        <v>1.6201123818443276E-2</v>
      </c>
      <c r="F46" s="376">
        <v>0.11516568544995809</v>
      </c>
      <c r="G46" s="376">
        <v>6.9364161849712058E-3</v>
      </c>
      <c r="H46" s="375">
        <f t="shared" si="6"/>
        <v>513.34600909864514</v>
      </c>
      <c r="I46" s="163">
        <f t="shared" si="6"/>
        <v>130.93904064642769</v>
      </c>
      <c r="J46" s="163">
        <f t="shared" si="6"/>
        <v>211.61007420547722</v>
      </c>
      <c r="K46" s="163">
        <f t="shared" si="6"/>
        <v>388.39228420670662</v>
      </c>
      <c r="L46" s="163">
        <f t="shared" si="6"/>
        <v>245.97726387236864</v>
      </c>
      <c r="M46" s="163">
        <f t="shared" si="6"/>
        <v>168.79844961240312</v>
      </c>
      <c r="N46" s="162">
        <f t="shared" si="1"/>
        <v>-3.0990380755237797E-2</v>
      </c>
      <c r="O46" s="162">
        <f t="shared" si="2"/>
        <v>-5.3520450010992981E-2</v>
      </c>
      <c r="P46" s="164">
        <f t="shared" si="3"/>
        <v>-2.8283171240347741E-2</v>
      </c>
      <c r="Q46" s="165"/>
      <c r="R46" s="166">
        <v>5.9902999999999996E-3</v>
      </c>
      <c r="S46" s="168">
        <f t="shared" si="4"/>
        <v>-1.7964733280136369E-2</v>
      </c>
      <c r="T46" s="168">
        <f t="shared" si="4"/>
        <v>1.2841111224763724E-2</v>
      </c>
      <c r="U46" s="168">
        <f t="shared" si="4"/>
        <v>3.5237022254676509E-2</v>
      </c>
      <c r="V46" s="168">
        <f t="shared" si="4"/>
        <v>1.0150022140813286E-2</v>
      </c>
      <c r="W46" s="168">
        <f t="shared" si="4"/>
        <v>0.10852528642667658</v>
      </c>
      <c r="X46" s="168">
        <f t="shared" si="4"/>
        <v>9.4048241317179482E-4</v>
      </c>
    </row>
    <row r="47" spans="1:24">
      <c r="A47" s="165">
        <v>1954</v>
      </c>
      <c r="B47" s="376">
        <v>0.52563321241434902</v>
      </c>
      <c r="C47" s="376">
        <v>9.3752000000000002E-3</v>
      </c>
      <c r="D47" s="376">
        <v>3.2898034558095555E-2</v>
      </c>
      <c r="E47" s="376">
        <v>6.1579051817707856E-2</v>
      </c>
      <c r="F47" s="376">
        <v>9.2272202998846531E-3</v>
      </c>
      <c r="G47" s="376">
        <v>5.7405281285876075E-3</v>
      </c>
      <c r="H47" s="375">
        <f t="shared" si="6"/>
        <v>783.17772094125166</v>
      </c>
      <c r="I47" s="163">
        <f t="shared" si="6"/>
        <v>132.16662034029608</v>
      </c>
      <c r="J47" s="163">
        <f t="shared" si="6"/>
        <v>218.57162973953018</v>
      </c>
      <c r="K47" s="163">
        <f t="shared" si="6"/>
        <v>412.30911280146938</v>
      </c>
      <c r="L47" s="163">
        <f t="shared" si="6"/>
        <v>248.24695027488184</v>
      </c>
      <c r="M47" s="163">
        <f t="shared" si="6"/>
        <v>169.76744186046508</v>
      </c>
      <c r="N47" s="162">
        <f t="shared" si="1"/>
        <v>0.51625801241434899</v>
      </c>
      <c r="O47" s="162">
        <f t="shared" si="2"/>
        <v>0.49273517785625348</v>
      </c>
      <c r="P47" s="164">
        <f t="shared" si="3"/>
        <v>0.46405416059664117</v>
      </c>
      <c r="Q47" s="165"/>
      <c r="R47" s="166">
        <v>-3.7215999999999998E-3</v>
      </c>
      <c r="S47" s="168">
        <f t="shared" si="4"/>
        <v>0.53133221839834022</v>
      </c>
      <c r="T47" s="168">
        <f t="shared" si="4"/>
        <v>1.3145723123175301E-2</v>
      </c>
      <c r="U47" s="168">
        <f t="shared" si="4"/>
        <v>3.6756427277852888E-2</v>
      </c>
      <c r="V47" s="168">
        <f t="shared" si="4"/>
        <v>6.5544582536074092E-2</v>
      </c>
      <c r="W47" s="168">
        <f t="shared" si="4"/>
        <v>1.2997190644587597E-2</v>
      </c>
      <c r="X47" s="168">
        <f t="shared" si="4"/>
        <v>9.4974739275563991E-3</v>
      </c>
    </row>
    <row r="48" spans="1:24">
      <c r="A48" s="165">
        <v>1955</v>
      </c>
      <c r="B48" s="376">
        <v>0.32597331851028349</v>
      </c>
      <c r="C48" s="376">
        <v>1.7243426294820716E-2</v>
      </c>
      <c r="D48" s="376">
        <v>-1.3364391288618781E-2</v>
      </c>
      <c r="E48" s="376">
        <v>2.044690004344954E-2</v>
      </c>
      <c r="F48" s="376">
        <v>0</v>
      </c>
      <c r="G48" s="376">
        <v>-2.8538812785383616E-4</v>
      </c>
      <c r="H48" s="375">
        <f t="shared" si="6"/>
        <v>1038.4727616197922</v>
      </c>
      <c r="I48" s="163">
        <f t="shared" si="6"/>
        <v>134.44562571676951</v>
      </c>
      <c r="J48" s="163">
        <f t="shared" si="6"/>
        <v>215.65055295509998</v>
      </c>
      <c r="K48" s="163">
        <f t="shared" si="6"/>
        <v>420.73955601792437</v>
      </c>
      <c r="L48" s="163">
        <f t="shared" si="6"/>
        <v>248.24695027488184</v>
      </c>
      <c r="M48" s="163">
        <f t="shared" si="6"/>
        <v>169.71899224806199</v>
      </c>
      <c r="N48" s="162">
        <f t="shared" si="1"/>
        <v>0.30872989221546276</v>
      </c>
      <c r="O48" s="162">
        <f t="shared" si="2"/>
        <v>0.33933770979890227</v>
      </c>
      <c r="P48" s="164">
        <f t="shared" si="3"/>
        <v>0.30552641846683393</v>
      </c>
      <c r="Q48" s="165"/>
      <c r="R48" s="166">
        <v>3.7355000000000001E-3</v>
      </c>
      <c r="S48" s="168">
        <f t="shared" si="4"/>
        <v>0.32103857889880727</v>
      </c>
      <c r="T48" s="168">
        <f t="shared" si="4"/>
        <v>1.3457655223732434E-2</v>
      </c>
      <c r="U48" s="168">
        <f t="shared" si="4"/>
        <v>-1.7036252367898408E-2</v>
      </c>
      <c r="V48" s="168">
        <f t="shared" si="4"/>
        <v>1.6649206930958949E-2</v>
      </c>
      <c r="W48" s="168">
        <f t="shared" si="4"/>
        <v>-3.7215979707800884E-3</v>
      </c>
      <c r="X48" s="168">
        <f t="shared" si="4"/>
        <v>-4.0059239987563222E-3</v>
      </c>
    </row>
    <row r="49" spans="1:24">
      <c r="A49" s="165">
        <v>1956</v>
      </c>
      <c r="B49" s="376">
        <v>7.4395118733509347E-2</v>
      </c>
      <c r="C49" s="376">
        <v>2.6213888888888887E-2</v>
      </c>
      <c r="D49" s="376">
        <v>-2.2557738173154165E-2</v>
      </c>
      <c r="E49" s="376">
        <v>-2.3526541979620903E-2</v>
      </c>
      <c r="F49" s="376">
        <v>9.1428571428571193E-3</v>
      </c>
      <c r="G49" s="376">
        <v>-1.1418783899515006E-3</v>
      </c>
      <c r="H49" s="375">
        <f t="shared" si="6"/>
        <v>1115.7300660220119</v>
      </c>
      <c r="I49" s="163">
        <f t="shared" si="6"/>
        <v>137.96996841090606</v>
      </c>
      <c r="J49" s="163">
        <f t="shared" si="6"/>
        <v>210.78596424464291</v>
      </c>
      <c r="K49" s="163">
        <f t="shared" si="6"/>
        <v>410.84100919078162</v>
      </c>
      <c r="L49" s="163">
        <f t="shared" si="6"/>
        <v>250.51663667739504</v>
      </c>
      <c r="M49" s="163">
        <f t="shared" si="6"/>
        <v>169.52519379844958</v>
      </c>
      <c r="N49" s="162">
        <f t="shared" si="1"/>
        <v>4.8181229844620463E-2</v>
      </c>
      <c r="O49" s="162">
        <f t="shared" si="2"/>
        <v>9.6952856906663512E-2</v>
      </c>
      <c r="P49" s="164">
        <f t="shared" si="3"/>
        <v>9.7921660713130243E-2</v>
      </c>
      <c r="Q49" s="165"/>
      <c r="R49" s="166">
        <v>2.8284299999999998E-2</v>
      </c>
      <c r="S49" s="168">
        <f t="shared" si="4"/>
        <v>4.4842480560589371E-2</v>
      </c>
      <c r="T49" s="168">
        <f t="shared" si="4"/>
        <v>-2.0134617547996614E-3</v>
      </c>
      <c r="U49" s="168">
        <f t="shared" si="4"/>
        <v>-4.9443561642586675E-2</v>
      </c>
      <c r="V49" s="168">
        <f t="shared" si="4"/>
        <v>-5.038571723755858E-2</v>
      </c>
      <c r="W49" s="168">
        <f t="shared" si="4"/>
        <v>-1.8614932521232475E-2</v>
      </c>
      <c r="X49" s="168">
        <f t="shared" si="4"/>
        <v>-2.861677299745935E-2</v>
      </c>
    </row>
    <row r="50" spans="1:24">
      <c r="A50" s="165">
        <v>1957</v>
      </c>
      <c r="B50" s="376">
        <v>-0.1045736018855796</v>
      </c>
      <c r="C50" s="376">
        <v>3.2245669291338583E-2</v>
      </c>
      <c r="D50" s="376">
        <v>6.7970128466249904E-2</v>
      </c>
      <c r="E50" s="376">
        <v>-7.1892844025423647E-3</v>
      </c>
      <c r="F50" s="376">
        <v>2.7180067950169917E-2</v>
      </c>
      <c r="G50" s="376">
        <v>-1.1431837667904565E-3</v>
      </c>
      <c r="H50" s="375">
        <f t="shared" si="6"/>
        <v>999.05415428605454</v>
      </c>
      <c r="I50" s="163">
        <f t="shared" si="6"/>
        <v>142.41890238442059</v>
      </c>
      <c r="J50" s="163">
        <f t="shared" si="6"/>
        <v>225.11311331323367</v>
      </c>
      <c r="K50" s="163">
        <f t="shared" si="6"/>
        <v>407.88735633148156</v>
      </c>
      <c r="L50" s="163">
        <f t="shared" si="6"/>
        <v>257.32569588493465</v>
      </c>
      <c r="M50" s="163">
        <f t="shared" si="6"/>
        <v>169.33139534883719</v>
      </c>
      <c r="N50" s="162">
        <f t="shared" si="1"/>
        <v>-0.13681927117691817</v>
      </c>
      <c r="O50" s="162">
        <f t="shared" si="2"/>
        <v>-0.17254373035182952</v>
      </c>
      <c r="P50" s="164">
        <f t="shared" si="3"/>
        <v>-9.7384317483037233E-2</v>
      </c>
      <c r="Q50" s="165"/>
      <c r="R50" s="166">
        <v>3.0401699999999997E-2</v>
      </c>
      <c r="S50" s="168">
        <f t="shared" si="4"/>
        <v>-0.13099289518406243</v>
      </c>
      <c r="T50" s="168">
        <f t="shared" si="4"/>
        <v>1.7895635181295333E-3</v>
      </c>
      <c r="U50" s="168">
        <f t="shared" si="4"/>
        <v>3.6459983001047025E-2</v>
      </c>
      <c r="V50" s="168">
        <f t="shared" si="4"/>
        <v>-3.648187343105358E-2</v>
      </c>
      <c r="W50" s="168">
        <f t="shared" si="4"/>
        <v>-3.126578740922259E-3</v>
      </c>
      <c r="X50" s="168">
        <f t="shared" si="4"/>
        <v>-3.0614161221580449E-2</v>
      </c>
    </row>
    <row r="51" spans="1:24">
      <c r="A51" s="165">
        <v>1958</v>
      </c>
      <c r="B51" s="376">
        <v>0.43719954988747184</v>
      </c>
      <c r="C51" s="376">
        <v>1.7665461847389558E-2</v>
      </c>
      <c r="D51" s="376">
        <v>-2.0990181755274694E-2</v>
      </c>
      <c r="E51" s="376">
        <v>6.4300928973360261E-2</v>
      </c>
      <c r="F51" s="376">
        <v>6.6152149944873617E-3</v>
      </c>
      <c r="G51" s="376">
        <v>4.2918454935620964E-3</v>
      </c>
      <c r="H51" s="375">
        <f t="shared" si="6"/>
        <v>1435.8401808531264</v>
      </c>
      <c r="I51" s="163">
        <f t="shared" si="6"/>
        <v>144.93479807083966</v>
      </c>
      <c r="J51" s="163">
        <f t="shared" si="6"/>
        <v>220.38794814929315</v>
      </c>
      <c r="K51" s="163">
        <f t="shared" si="6"/>
        <v>434.11489226008382</v>
      </c>
      <c r="L51" s="163">
        <f t="shared" si="6"/>
        <v>259.02796068681954</v>
      </c>
      <c r="M51" s="163">
        <f t="shared" si="6"/>
        <v>170.05813953488368</v>
      </c>
      <c r="N51" s="162">
        <f t="shared" si="1"/>
        <v>0.4195340880400823</v>
      </c>
      <c r="O51" s="162">
        <f t="shared" si="2"/>
        <v>0.45818973164274651</v>
      </c>
      <c r="P51" s="164">
        <f t="shared" si="3"/>
        <v>0.37289862091411158</v>
      </c>
      <c r="Q51" s="165"/>
      <c r="R51" s="166">
        <v>1.7562299999999999E-2</v>
      </c>
      <c r="S51" s="168">
        <f t="shared" si="4"/>
        <v>0.4123946513028951</v>
      </c>
      <c r="T51" s="168">
        <f t="shared" si="4"/>
        <v>1.0138135757342681E-4</v>
      </c>
      <c r="U51" s="168">
        <f t="shared" si="4"/>
        <v>-3.788709718832417E-2</v>
      </c>
      <c r="V51" s="168">
        <f t="shared" si="4"/>
        <v>4.5931958144833196E-2</v>
      </c>
      <c r="W51" s="168">
        <f t="shared" si="4"/>
        <v>-1.0758147196994861E-2</v>
      </c>
      <c r="X51" s="168">
        <f t="shared" si="4"/>
        <v>-1.3041417224712415E-2</v>
      </c>
    </row>
    <row r="52" spans="1:24">
      <c r="A52" s="165">
        <v>1959</v>
      </c>
      <c r="B52" s="376">
        <v>0.12056457163557326</v>
      </c>
      <c r="C52" s="376">
        <v>3.3860159362549803E-2</v>
      </c>
      <c r="D52" s="376">
        <v>-2.6466312591385065E-2</v>
      </c>
      <c r="E52" s="376">
        <v>1.5743430895022732E-2</v>
      </c>
      <c r="F52" s="376">
        <v>1.0952902519167917E-3</v>
      </c>
      <c r="G52" s="376">
        <v>0</v>
      </c>
      <c r="H52" s="375">
        <f t="shared" si="6"/>
        <v>1608.9516371948275</v>
      </c>
      <c r="I52" s="163">
        <f t="shared" si="6"/>
        <v>149.84231343069726</v>
      </c>
      <c r="J52" s="163">
        <f t="shared" si="6"/>
        <v>214.55509182219998</v>
      </c>
      <c r="K52" s="163">
        <f t="shared" si="6"/>
        <v>440.94935006688075</v>
      </c>
      <c r="L52" s="163">
        <f t="shared" si="6"/>
        <v>259.31167148713371</v>
      </c>
      <c r="M52" s="163">
        <f t="shared" si="6"/>
        <v>170.05813953488368</v>
      </c>
      <c r="N52" s="162">
        <f t="shared" si="1"/>
        <v>8.6704412273023446E-2</v>
      </c>
      <c r="O52" s="162">
        <f t="shared" si="2"/>
        <v>0.14703088422695831</v>
      </c>
      <c r="P52" s="164">
        <f t="shared" si="3"/>
        <v>0.10482114074055052</v>
      </c>
      <c r="Q52" s="165"/>
      <c r="R52" s="166">
        <v>1.51881E-2</v>
      </c>
      <c r="S52" s="168">
        <f t="shared" si="4"/>
        <v>0.10379994765066014</v>
      </c>
      <c r="T52" s="168">
        <f t="shared" si="4"/>
        <v>1.8392709058104417E-2</v>
      </c>
      <c r="U52" s="168">
        <f t="shared" si="4"/>
        <v>-4.1031226224366835E-2</v>
      </c>
      <c r="V52" s="168">
        <f t="shared" si="4"/>
        <v>5.4702266015804746E-4</v>
      </c>
      <c r="W52" s="168">
        <f t="shared" si="4"/>
        <v>-1.3881969014494233E-2</v>
      </c>
      <c r="X52" s="168">
        <f t="shared" si="4"/>
        <v>-1.4960872768307709E-2</v>
      </c>
    </row>
    <row r="53" spans="1:24">
      <c r="A53" s="165">
        <v>1960</v>
      </c>
      <c r="B53" s="376">
        <v>3.36535314743695E-3</v>
      </c>
      <c r="C53" s="376">
        <v>2.8729718875502006E-2</v>
      </c>
      <c r="D53" s="376">
        <v>0.11639503690963365</v>
      </c>
      <c r="E53" s="376">
        <v>6.6631871633034342E-2</v>
      </c>
      <c r="F53" s="376">
        <v>7.6586433260392717E-3</v>
      </c>
      <c r="G53" s="376">
        <v>4.8433048433049741E-3</v>
      </c>
      <c r="H53" s="375">
        <f t="shared" si="6"/>
        <v>1614.366327651135</v>
      </c>
      <c r="I53" s="163">
        <f t="shared" si="6"/>
        <v>154.14724097121606</v>
      </c>
      <c r="J53" s="163">
        <f t="shared" si="6"/>
        <v>239.52823965399477</v>
      </c>
      <c r="K53" s="163">
        <f t="shared" si="6"/>
        <v>470.33063055720703</v>
      </c>
      <c r="L53" s="163">
        <f t="shared" si="6"/>
        <v>261.29764708933271</v>
      </c>
      <c r="M53" s="163">
        <f t="shared" si="6"/>
        <v>170.8817829457364</v>
      </c>
      <c r="N53" s="162">
        <f t="shared" si="1"/>
        <v>-2.5364365728065056E-2</v>
      </c>
      <c r="O53" s="162">
        <f t="shared" si="2"/>
        <v>-0.1130296837621967</v>
      </c>
      <c r="P53" s="164">
        <f t="shared" si="3"/>
        <v>-6.3266518485597389E-2</v>
      </c>
      <c r="Q53" s="164">
        <f t="shared" ref="Q53:Q114" si="7">((H53/100)^(1/(A53-$A$21+1)))-((J53/100)^(1/(A53-$A$21+1)))</f>
        <v>6.1119788031217315E-2</v>
      </c>
      <c r="R53" s="166">
        <v>1.36008E-2</v>
      </c>
      <c r="S53" s="168">
        <f t="shared" ref="S53:X84" si="8">(1+B53)/(1+$R53)-1</f>
        <v>-1.0098104552169973E-2</v>
      </c>
      <c r="T53" s="168">
        <f t="shared" si="8"/>
        <v>1.4925914497602832E-2</v>
      </c>
      <c r="U53" s="168">
        <f t="shared" si="8"/>
        <v>0.10141491296142768</v>
      </c>
      <c r="V53" s="168">
        <f t="shared" si="8"/>
        <v>5.2319484784378867E-2</v>
      </c>
      <c r="W53" s="168">
        <f t="shared" si="8"/>
        <v>-5.8624230308034209E-3</v>
      </c>
      <c r="X53" s="168">
        <f t="shared" si="8"/>
        <v>-8.639984456104477E-3</v>
      </c>
    </row>
    <row r="54" spans="1:24">
      <c r="A54" s="165">
        <v>1961</v>
      </c>
      <c r="B54" s="376">
        <v>0.26637712958182752</v>
      </c>
      <c r="C54" s="376">
        <v>2.3524899598393576E-2</v>
      </c>
      <c r="D54" s="376">
        <v>2.0609208076323167E-2</v>
      </c>
      <c r="E54" s="376">
        <v>5.0999999999999997E-2</v>
      </c>
      <c r="F54" s="376">
        <v>9.7719869706840434E-3</v>
      </c>
      <c r="G54" s="376">
        <v>-5.6705415367175327E-4</v>
      </c>
      <c r="H54" s="375">
        <f t="shared" ref="H54:M69" si="9">H53*(1+B54)</f>
        <v>2044.3965961044005</v>
      </c>
      <c r="I54" s="163">
        <f t="shared" si="9"/>
        <v>157.77353933843332</v>
      </c>
      <c r="J54" s="163">
        <f t="shared" si="9"/>
        <v>244.46472698517934</v>
      </c>
      <c r="K54" s="163">
        <f t="shared" si="9"/>
        <v>494.31749271562455</v>
      </c>
      <c r="L54" s="163">
        <f t="shared" si="9"/>
        <v>263.85104429216005</v>
      </c>
      <c r="M54" s="163">
        <f t="shared" si="9"/>
        <v>170.7848837209302</v>
      </c>
      <c r="N54" s="162">
        <f t="shared" si="1"/>
        <v>0.24285222998343395</v>
      </c>
      <c r="O54" s="162">
        <f t="shared" si="2"/>
        <v>0.24576792150550436</v>
      </c>
      <c r="P54" s="164">
        <f t="shared" si="3"/>
        <v>0.21537712958182753</v>
      </c>
      <c r="Q54" s="164">
        <f t="shared" si="7"/>
        <v>6.6173591829972622E-2</v>
      </c>
      <c r="R54" s="166">
        <v>6.7091999999999994E-3</v>
      </c>
      <c r="S54" s="168">
        <f t="shared" si="8"/>
        <v>0.25793737613784362</v>
      </c>
      <c r="T54" s="168">
        <f t="shared" si="8"/>
        <v>1.6703631593307788E-2</v>
      </c>
      <c r="U54" s="168">
        <f t="shared" si="8"/>
        <v>1.3807371658392631E-2</v>
      </c>
      <c r="V54" s="168">
        <f t="shared" si="8"/>
        <v>4.3995624555730695E-2</v>
      </c>
      <c r="W54" s="168">
        <f t="shared" si="8"/>
        <v>3.0423750678787442E-3</v>
      </c>
      <c r="X54" s="168">
        <f t="shared" si="8"/>
        <v>-7.2277616551748025E-3</v>
      </c>
    </row>
    <row r="55" spans="1:24">
      <c r="A55" s="165">
        <v>1962</v>
      </c>
      <c r="B55" s="376">
        <v>-8.8114605171208879E-2</v>
      </c>
      <c r="C55" s="376">
        <v>2.7723694779116466E-2</v>
      </c>
      <c r="D55" s="376">
        <v>5.693544054008462E-2</v>
      </c>
      <c r="E55" s="376">
        <v>6.4953279936065755E-2</v>
      </c>
      <c r="F55" s="376">
        <v>3.2258064516126339E-3</v>
      </c>
      <c r="G55" s="376">
        <v>-5.6737588652489013E-4</v>
      </c>
      <c r="H55" s="375">
        <f t="shared" si="9"/>
        <v>1864.2553972252979</v>
      </c>
      <c r="I55" s="163">
        <f t="shared" si="9"/>
        <v>162.14760478727297</v>
      </c>
      <c r="J55" s="163">
        <f t="shared" si="9"/>
        <v>258.38343391259201</v>
      </c>
      <c r="K55" s="163">
        <f t="shared" si="9"/>
        <v>526.42503519727666</v>
      </c>
      <c r="L55" s="163">
        <f t="shared" si="9"/>
        <v>264.70217669310244</v>
      </c>
      <c r="M55" s="163">
        <f t="shared" si="9"/>
        <v>170.68798449612399</v>
      </c>
      <c r="N55" s="162">
        <f t="shared" si="1"/>
        <v>-0.11583829995032535</v>
      </c>
      <c r="O55" s="162">
        <f t="shared" si="2"/>
        <v>-0.14505004571129348</v>
      </c>
      <c r="P55" s="164">
        <f t="shared" si="3"/>
        <v>-0.15306788510727465</v>
      </c>
      <c r="Q55" s="164">
        <f t="shared" si="7"/>
        <v>5.9683465378989942E-2</v>
      </c>
      <c r="R55" s="166">
        <v>1.23292E-2</v>
      </c>
      <c r="S55" s="168">
        <f t="shared" si="8"/>
        <v>-9.9220495833972522E-2</v>
      </c>
      <c r="T55" s="168">
        <f t="shared" si="8"/>
        <v>1.5207004578270178E-2</v>
      </c>
      <c r="U55" s="168">
        <f t="shared" si="8"/>
        <v>4.4062979256238588E-2</v>
      </c>
      <c r="V55" s="168">
        <f t="shared" si="8"/>
        <v>5.1983169048236189E-2</v>
      </c>
      <c r="W55" s="168">
        <f t="shared" si="8"/>
        <v>-8.9925229346217161E-3</v>
      </c>
      <c r="X55" s="168">
        <f t="shared" si="8"/>
        <v>-1.2739507945167317E-2</v>
      </c>
    </row>
    <row r="56" spans="1:24">
      <c r="A56" s="165">
        <v>1963</v>
      </c>
      <c r="B56" s="376">
        <v>0.22611927099841514</v>
      </c>
      <c r="C56" s="376">
        <v>3.1560240963855422E-2</v>
      </c>
      <c r="D56" s="376">
        <v>1.6841620739546127E-2</v>
      </c>
      <c r="E56" s="376">
        <v>5.4644805711862345E-2</v>
      </c>
      <c r="F56" s="376">
        <v>2.143622722400873E-2</v>
      </c>
      <c r="G56" s="376">
        <v>-3.9738858927048648E-3</v>
      </c>
      <c r="H56" s="375">
        <f t="shared" si="9"/>
        <v>2285.7994686007432</v>
      </c>
      <c r="I56" s="163">
        <f t="shared" si="9"/>
        <v>167.2650222660713</v>
      </c>
      <c r="J56" s="163">
        <f t="shared" si="9"/>
        <v>262.73502971192949</v>
      </c>
      <c r="K56" s="163">
        <f t="shared" si="9"/>
        <v>555.19142896749213</v>
      </c>
      <c r="L56" s="163">
        <f t="shared" si="9"/>
        <v>270.37639269938552</v>
      </c>
      <c r="M56" s="163">
        <f t="shared" si="9"/>
        <v>170.00968992248062</v>
      </c>
      <c r="N56" s="162">
        <f t="shared" si="1"/>
        <v>0.19455903003455971</v>
      </c>
      <c r="O56" s="162">
        <f t="shared" si="2"/>
        <v>0.20927765025886902</v>
      </c>
      <c r="P56" s="164">
        <f t="shared" si="3"/>
        <v>0.1714744652865528</v>
      </c>
      <c r="Q56" s="164">
        <f t="shared" si="7"/>
        <v>6.3618993911514821E-2</v>
      </c>
      <c r="R56" s="166">
        <v>1.6458199999999999E-2</v>
      </c>
      <c r="S56" s="168">
        <f t="shared" si="8"/>
        <v>0.20626629899627469</v>
      </c>
      <c r="T56" s="168">
        <f t="shared" si="8"/>
        <v>1.4857513042696002E-2</v>
      </c>
      <c r="U56" s="168">
        <f t="shared" si="8"/>
        <v>3.7721250076594437E-4</v>
      </c>
      <c r="V56" s="168">
        <f t="shared" si="8"/>
        <v>3.7568299131102822E-2</v>
      </c>
      <c r="W56" s="168">
        <f t="shared" si="8"/>
        <v>4.8974244332022909E-3</v>
      </c>
      <c r="X56" s="168">
        <f t="shared" si="8"/>
        <v>-2.0101255410901131E-2</v>
      </c>
    </row>
    <row r="57" spans="1:24">
      <c r="A57" s="165">
        <v>1964</v>
      </c>
      <c r="B57" s="376">
        <v>0.16415455878432425</v>
      </c>
      <c r="C57" s="376">
        <v>3.5457370517928286E-2</v>
      </c>
      <c r="D57" s="376">
        <v>3.7280648911540815E-2</v>
      </c>
      <c r="E57" s="376">
        <v>5.1617392722850271E-2</v>
      </c>
      <c r="F57" s="376">
        <v>1.2591815320041944E-2</v>
      </c>
      <c r="G57" s="376">
        <v>2.8498147620403813E-4</v>
      </c>
      <c r="H57" s="375">
        <f t="shared" si="9"/>
        <v>2661.0238718383412</v>
      </c>
      <c r="I57" s="163">
        <f t="shared" si="9"/>
        <v>173.1958001352489</v>
      </c>
      <c r="J57" s="163">
        <f t="shared" si="9"/>
        <v>272.52996211138321</v>
      </c>
      <c r="K57" s="163">
        <f t="shared" si="9"/>
        <v>583.84896299286754</v>
      </c>
      <c r="L57" s="163">
        <f t="shared" si="9"/>
        <v>273.78092230315531</v>
      </c>
      <c r="M57" s="163">
        <f t="shared" si="9"/>
        <v>170.05813953488371</v>
      </c>
      <c r="N57" s="162">
        <f t="shared" si="1"/>
        <v>0.12869718826639598</v>
      </c>
      <c r="O57" s="162">
        <f t="shared" si="2"/>
        <v>0.12687390987278344</v>
      </c>
      <c r="P57" s="164">
        <f t="shared" si="3"/>
        <v>0.11253716606147399</v>
      </c>
      <c r="Q57" s="164">
        <f t="shared" si="7"/>
        <v>6.5267777442658215E-2</v>
      </c>
      <c r="R57" s="166">
        <v>1.19819E-2</v>
      </c>
      <c r="S57" s="168">
        <f t="shared" si="8"/>
        <v>0.15037092934599339</v>
      </c>
      <c r="T57" s="168">
        <f t="shared" si="8"/>
        <v>2.3197520151228002E-2</v>
      </c>
      <c r="U57" s="168">
        <f t="shared" si="8"/>
        <v>2.4999210866855304E-2</v>
      </c>
      <c r="V57" s="168">
        <f t="shared" si="8"/>
        <v>3.9166207145453935E-2</v>
      </c>
      <c r="W57" s="168">
        <f t="shared" si="8"/>
        <v>6.0269390197764672E-4</v>
      </c>
      <c r="X57" s="168">
        <f t="shared" si="8"/>
        <v>-1.1558426611974038E-2</v>
      </c>
    </row>
    <row r="58" spans="1:24">
      <c r="A58" s="165">
        <v>1965</v>
      </c>
      <c r="B58" s="376">
        <v>0.12399242477876114</v>
      </c>
      <c r="C58" s="376">
        <v>3.9490763052208833E-2</v>
      </c>
      <c r="D58" s="376">
        <v>7.1885509359262342E-3</v>
      </c>
      <c r="E58" s="376">
        <v>3.1900094622538809E-2</v>
      </c>
      <c r="F58" s="376">
        <v>1.6580310880829119E-2</v>
      </c>
      <c r="G58" s="376">
        <v>5.6980056980049376E-4</v>
      </c>
      <c r="H58" s="375">
        <f t="shared" si="9"/>
        <v>2990.9706741017444</v>
      </c>
      <c r="I58" s="163">
        <f t="shared" si="9"/>
        <v>180.03543444002773</v>
      </c>
      <c r="J58" s="163">
        <f t="shared" si="9"/>
        <v>274.48905762558695</v>
      </c>
      <c r="K58" s="163">
        <f t="shared" si="9"/>
        <v>602.47380015761109</v>
      </c>
      <c r="L58" s="163">
        <f t="shared" si="9"/>
        <v>278.32029510818177</v>
      </c>
      <c r="M58" s="163">
        <f t="shared" si="9"/>
        <v>170.15503875968989</v>
      </c>
      <c r="N58" s="162">
        <f t="shared" si="1"/>
        <v>8.450166172655231E-2</v>
      </c>
      <c r="O58" s="162">
        <f t="shared" si="2"/>
        <v>0.11680387384283492</v>
      </c>
      <c r="P58" s="164">
        <f t="shared" si="3"/>
        <v>9.2092330156222341E-2</v>
      </c>
      <c r="Q58" s="164">
        <f t="shared" si="7"/>
        <v>6.6617941689874449E-2</v>
      </c>
      <c r="R58" s="166">
        <v>1.9199999999999998E-2</v>
      </c>
      <c r="S58" s="168">
        <f t="shared" si="8"/>
        <v>0.10281831316597434</v>
      </c>
      <c r="T58" s="168">
        <f t="shared" si="8"/>
        <v>1.9908519478226694E-2</v>
      </c>
      <c r="U58" s="168">
        <f t="shared" si="8"/>
        <v>-1.1785173728486975E-2</v>
      </c>
      <c r="V58" s="168">
        <f t="shared" si="8"/>
        <v>1.2460846372192469E-2</v>
      </c>
      <c r="W58" s="168">
        <f t="shared" si="8"/>
        <v>-2.5703386177109433E-3</v>
      </c>
      <c r="X58" s="168">
        <f t="shared" si="8"/>
        <v>-1.827923805945797E-2</v>
      </c>
    </row>
    <row r="59" spans="1:24">
      <c r="A59" s="165">
        <v>1966</v>
      </c>
      <c r="B59" s="376">
        <v>-9.9709542356377898E-2</v>
      </c>
      <c r="C59" s="376">
        <v>4.8557199999999995E-2</v>
      </c>
      <c r="D59" s="376">
        <v>2.9079409324299622E-2</v>
      </c>
      <c r="E59" s="376">
        <v>-3.4453615975776369E-2</v>
      </c>
      <c r="F59" s="376">
        <v>1.2232415902140525E-2</v>
      </c>
      <c r="G59" s="376">
        <v>2.8473804100248579E-4</v>
      </c>
      <c r="H59" s="375">
        <f t="shared" si="9"/>
        <v>2692.7423569857124</v>
      </c>
      <c r="I59" s="163">
        <f t="shared" si="9"/>
        <v>188.77745103721907</v>
      </c>
      <c r="J59" s="163">
        <f t="shared" si="9"/>
        <v>282.47103728732264</v>
      </c>
      <c r="K59" s="163">
        <f t="shared" si="9"/>
        <v>581.71639921151416</v>
      </c>
      <c r="L59" s="163">
        <f t="shared" si="9"/>
        <v>281.72482471195156</v>
      </c>
      <c r="M59" s="163">
        <f t="shared" si="9"/>
        <v>170.20348837209303</v>
      </c>
      <c r="N59" s="162">
        <f t="shared" si="1"/>
        <v>-0.14826674235637788</v>
      </c>
      <c r="O59" s="162">
        <f t="shared" si="2"/>
        <v>-0.12878895168067753</v>
      </c>
      <c r="P59" s="164">
        <f t="shared" si="3"/>
        <v>-6.5255926380601528E-2</v>
      </c>
      <c r="Q59" s="164">
        <f t="shared" si="7"/>
        <v>6.1123719679815336E-2</v>
      </c>
      <c r="R59" s="166">
        <v>3.3595E-2</v>
      </c>
      <c r="S59" s="168">
        <f t="shared" si="8"/>
        <v>-0.12897173685667784</v>
      </c>
      <c r="T59" s="168">
        <f t="shared" si="8"/>
        <v>1.4475882720020872E-2</v>
      </c>
      <c r="U59" s="168">
        <f t="shared" si="8"/>
        <v>-4.3688201623464096E-3</v>
      </c>
      <c r="V59" s="168">
        <f t="shared" si="8"/>
        <v>-6.5836827747595916E-2</v>
      </c>
      <c r="W59" s="168">
        <f t="shared" si="8"/>
        <v>-2.0668234751386683E-2</v>
      </c>
      <c r="X59" s="168">
        <f t="shared" si="8"/>
        <v>-3.2227576525619361E-2</v>
      </c>
    </row>
    <row r="60" spans="1:24">
      <c r="A60" s="165">
        <v>1967</v>
      </c>
      <c r="B60" s="376">
        <v>0.23802966513133328</v>
      </c>
      <c r="C60" s="376">
        <v>4.2934538152610439E-2</v>
      </c>
      <c r="D60" s="376">
        <v>-1.5806209932824666E-2</v>
      </c>
      <c r="E60" s="376">
        <v>8.9522661484468247E-3</v>
      </c>
      <c r="F60" s="376">
        <v>2.3162134944612278E-2</v>
      </c>
      <c r="G60" s="376">
        <v>-5.1238257899230977E-3</v>
      </c>
      <c r="H60" s="375">
        <f t="shared" si="9"/>
        <v>3333.6949185039784</v>
      </c>
      <c r="I60" s="163">
        <f t="shared" si="9"/>
        <v>196.8825237111291</v>
      </c>
      <c r="J60" s="163">
        <f t="shared" si="9"/>
        <v>278.0062407720165</v>
      </c>
      <c r="K60" s="163">
        <f t="shared" si="9"/>
        <v>586.92407924017186</v>
      </c>
      <c r="L60" s="163">
        <f t="shared" si="9"/>
        <v>288.25017311917702</v>
      </c>
      <c r="M60" s="163">
        <f t="shared" si="9"/>
        <v>169.33139534883722</v>
      </c>
      <c r="N60" s="162">
        <f t="shared" si="1"/>
        <v>0.19509512697872283</v>
      </c>
      <c r="O60" s="162">
        <f t="shared" si="2"/>
        <v>0.25383587506415795</v>
      </c>
      <c r="P60" s="164">
        <f t="shared" si="3"/>
        <v>0.22907739898288645</v>
      </c>
      <c r="Q60" s="164">
        <f t="shared" si="7"/>
        <v>6.5732838776739522E-2</v>
      </c>
      <c r="R60" s="166">
        <v>3.2806799999999997E-2</v>
      </c>
      <c r="S60" s="168">
        <f t="shared" si="8"/>
        <v>0.1987040220216727</v>
      </c>
      <c r="T60" s="168">
        <f t="shared" si="8"/>
        <v>9.806033570470829E-3</v>
      </c>
      <c r="U60" s="168">
        <f t="shared" si="8"/>
        <v>-4.7068832169602892E-2</v>
      </c>
      <c r="V60" s="168">
        <f t="shared" si="8"/>
        <v>-2.3096801697619518E-2</v>
      </c>
      <c r="W60" s="168">
        <f t="shared" si="8"/>
        <v>-9.3383051461198852E-3</v>
      </c>
      <c r="X60" s="168">
        <f t="shared" si="8"/>
        <v>-3.6725770773316957E-2</v>
      </c>
    </row>
    <row r="61" spans="1:24">
      <c r="A61" s="165">
        <v>1968</v>
      </c>
      <c r="B61" s="376">
        <v>0.10814862651601535</v>
      </c>
      <c r="C61" s="376">
        <v>5.3376E-2</v>
      </c>
      <c r="D61" s="376">
        <v>3.2746196950768365E-2</v>
      </c>
      <c r="E61" s="376">
        <v>4.845146224309746E-2</v>
      </c>
      <c r="F61" s="376">
        <v>4.1338582677165281E-2</v>
      </c>
      <c r="G61" s="376">
        <v>0.12474964234620889</v>
      </c>
      <c r="H61" s="375">
        <f t="shared" si="9"/>
        <v>3694.2294451636035</v>
      </c>
      <c r="I61" s="163">
        <f t="shared" si="9"/>
        <v>207.39132529673435</v>
      </c>
      <c r="J61" s="163">
        <f t="shared" si="9"/>
        <v>287.10988788587969</v>
      </c>
      <c r="K61" s="163">
        <f t="shared" si="9"/>
        <v>615.36140910504173</v>
      </c>
      <c r="L61" s="163">
        <f t="shared" si="9"/>
        <v>300.16602673237134</v>
      </c>
      <c r="M61" s="163">
        <f t="shared" si="9"/>
        <v>190.45542635658916</v>
      </c>
      <c r="N61" s="162">
        <f t="shared" si="1"/>
        <v>5.4772626516015353E-2</v>
      </c>
      <c r="O61" s="162">
        <f t="shared" si="2"/>
        <v>7.5402429565246981E-2</v>
      </c>
      <c r="P61" s="164">
        <f t="shared" si="3"/>
        <v>5.9697164272917894E-2</v>
      </c>
      <c r="Q61" s="164">
        <f t="shared" si="7"/>
        <v>6.596627828748769E-2</v>
      </c>
      <c r="R61" s="166">
        <v>4.7058799999999998E-2</v>
      </c>
      <c r="S61" s="168">
        <f t="shared" si="8"/>
        <v>5.8344217646626229E-2</v>
      </c>
      <c r="T61" s="168">
        <f t="shared" si="8"/>
        <v>6.033281034455884E-3</v>
      </c>
      <c r="U61" s="168">
        <f t="shared" si="8"/>
        <v>-1.3669340298015475E-2</v>
      </c>
      <c r="V61" s="168">
        <f t="shared" si="8"/>
        <v>1.3300707114989319E-3</v>
      </c>
      <c r="W61" s="168">
        <f t="shared" si="8"/>
        <v>-5.4631290265979571E-3</v>
      </c>
      <c r="X61" s="168">
        <f t="shared" si="8"/>
        <v>7.4199120762089787E-2</v>
      </c>
    </row>
    <row r="62" spans="1:24">
      <c r="A62" s="165">
        <v>1969</v>
      </c>
      <c r="B62" s="376">
        <v>-8.2413710764490639E-2</v>
      </c>
      <c r="C62" s="376">
        <v>6.668467741935484E-2</v>
      </c>
      <c r="D62" s="376">
        <v>-5.0140493209926106E-2</v>
      </c>
      <c r="E62" s="376">
        <v>-2.0251642507921469E-2</v>
      </c>
      <c r="F62" s="376">
        <v>6.9943289224952743E-2</v>
      </c>
      <c r="G62" s="376">
        <v>5.0114474688374377E-2</v>
      </c>
      <c r="H62" s="375">
        <f t="shared" si="9"/>
        <v>3389.7742881722256</v>
      </c>
      <c r="I62" s="163">
        <f t="shared" si="9"/>
        <v>221.22114892371957</v>
      </c>
      <c r="J62" s="163">
        <f t="shared" si="9"/>
        <v>272.7140565018351</v>
      </c>
      <c r="K62" s="163">
        <f t="shared" si="9"/>
        <v>602.89932983467565</v>
      </c>
      <c r="L62" s="163">
        <f t="shared" si="9"/>
        <v>321.16062595561846</v>
      </c>
      <c r="M62" s="163">
        <f t="shared" si="9"/>
        <v>200</v>
      </c>
      <c r="N62" s="162">
        <f t="shared" si="1"/>
        <v>-0.14909838818384546</v>
      </c>
      <c r="O62" s="162">
        <f t="shared" si="2"/>
        <v>-3.2273217554564533E-2</v>
      </c>
      <c r="P62" s="164">
        <f t="shared" si="3"/>
        <v>-6.216206825656917E-2</v>
      </c>
      <c r="Q62" s="164">
        <f t="shared" si="7"/>
        <v>6.3333872734198771E-2</v>
      </c>
      <c r="R62" s="166">
        <v>5.8988800000000001E-2</v>
      </c>
      <c r="S62" s="168">
        <f t="shared" si="8"/>
        <v>-0.13352597380113063</v>
      </c>
      <c r="T62" s="168">
        <f t="shared" si="8"/>
        <v>7.2671943455442367E-3</v>
      </c>
      <c r="U62" s="168">
        <f t="shared" si="8"/>
        <v>-0.10305046966495413</v>
      </c>
      <c r="V62" s="168">
        <f t="shared" si="8"/>
        <v>-7.4826516114166131E-2</v>
      </c>
      <c r="W62" s="168">
        <f t="shared" si="8"/>
        <v>1.034429186121022E-2</v>
      </c>
      <c r="X62" s="168">
        <f t="shared" si="8"/>
        <v>-8.3799992139913515E-3</v>
      </c>
    </row>
    <row r="63" spans="1:24">
      <c r="A63" s="165">
        <v>1970</v>
      </c>
      <c r="B63" s="376">
        <v>3.5611449054964189E-2</v>
      </c>
      <c r="C63" s="376">
        <v>6.3909999999999995E-2</v>
      </c>
      <c r="D63" s="376">
        <v>0.16754737183412338</v>
      </c>
      <c r="E63" s="376">
        <v>5.6495676569888728E-2</v>
      </c>
      <c r="F63" s="376">
        <v>8.2155477031802038E-2</v>
      </c>
      <c r="G63" s="376">
        <v>-9.4476744186046457E-2</v>
      </c>
      <c r="H63" s="375">
        <f t="shared" si="9"/>
        <v>3510.4890625432981</v>
      </c>
      <c r="I63" s="163">
        <f t="shared" si="9"/>
        <v>235.35939255143447</v>
      </c>
      <c r="J63" s="163">
        <f t="shared" si="9"/>
        <v>318.40657993094021</v>
      </c>
      <c r="K63" s="163">
        <f t="shared" si="9"/>
        <v>636.96053537721821</v>
      </c>
      <c r="L63" s="163">
        <f t="shared" si="9"/>
        <v>347.54573038483443</v>
      </c>
      <c r="M63" s="163">
        <f t="shared" si="9"/>
        <v>181.1046511627907</v>
      </c>
      <c r="N63" s="162">
        <f t="shared" si="1"/>
        <v>-2.8298550945035805E-2</v>
      </c>
      <c r="O63" s="162">
        <f t="shared" si="2"/>
        <v>-0.13193592277915919</v>
      </c>
      <c r="P63" s="164">
        <f t="shared" si="3"/>
        <v>-2.0884227514924539E-2</v>
      </c>
      <c r="Q63" s="164">
        <f t="shared" si="7"/>
        <v>5.8972566666315007E-2</v>
      </c>
      <c r="R63" s="166">
        <v>5.57029E-2</v>
      </c>
      <c r="S63" s="168">
        <f t="shared" si="8"/>
        <v>-1.9031349582383283E-2</v>
      </c>
      <c r="T63" s="168">
        <f t="shared" si="8"/>
        <v>7.7740621911712715E-3</v>
      </c>
      <c r="U63" s="168">
        <f t="shared" si="8"/>
        <v>0.10594313213890327</v>
      </c>
      <c r="V63" s="168">
        <f t="shared" si="8"/>
        <v>7.5094666301356305E-4</v>
      </c>
      <c r="W63" s="168">
        <f t="shared" si="8"/>
        <v>2.5056838464498021E-2</v>
      </c>
      <c r="X63" s="168">
        <f t="shared" si="8"/>
        <v>-0.14225559500314577</v>
      </c>
    </row>
    <row r="64" spans="1:24">
      <c r="A64" s="165">
        <v>1971</v>
      </c>
      <c r="B64" s="376">
        <v>0.14221150298426474</v>
      </c>
      <c r="C64" s="376">
        <v>4.3342570281124503E-2</v>
      </c>
      <c r="D64" s="376">
        <v>9.7868966197122972E-2</v>
      </c>
      <c r="E64" s="376">
        <v>0.1400146617421994</v>
      </c>
      <c r="F64" s="376">
        <v>4.24489795918368E-2</v>
      </c>
      <c r="G64" s="376">
        <v>0.16693418940609939</v>
      </c>
      <c r="H64" s="375">
        <f t="shared" si="9"/>
        <v>4009.720988337403</v>
      </c>
      <c r="I64" s="163">
        <f t="shared" si="9"/>
        <v>245.5604735644178</v>
      </c>
      <c r="J64" s="163">
        <f t="shared" si="9"/>
        <v>349.56870273914296</v>
      </c>
      <c r="K64" s="163">
        <f t="shared" si="9"/>
        <v>726.14434928118965</v>
      </c>
      <c r="L64" s="163">
        <f t="shared" si="9"/>
        <v>362.29869200117025</v>
      </c>
      <c r="M64" s="163">
        <f t="shared" si="9"/>
        <v>211.33720930232556</v>
      </c>
      <c r="N64" s="162">
        <f t="shared" si="1"/>
        <v>9.8868932703140233E-2</v>
      </c>
      <c r="O64" s="162">
        <f t="shared" si="2"/>
        <v>4.434253678714177E-2</v>
      </c>
      <c r="P64" s="164">
        <f t="shared" si="3"/>
        <v>2.1968412420653449E-3</v>
      </c>
      <c r="Q64" s="164">
        <f t="shared" si="7"/>
        <v>5.8660636809878541E-2</v>
      </c>
      <c r="R64" s="166">
        <v>3.2663299999999999E-2</v>
      </c>
      <c r="S64" s="168">
        <f t="shared" si="8"/>
        <v>0.10608317636955311</v>
      </c>
      <c r="T64" s="168">
        <f t="shared" si="8"/>
        <v>1.0341483309346255E-2</v>
      </c>
      <c r="U64" s="168">
        <f t="shared" si="8"/>
        <v>6.3143200883698514E-2</v>
      </c>
      <c r="V64" s="168">
        <f t="shared" si="8"/>
        <v>0.10395582155597016</v>
      </c>
      <c r="W64" s="168">
        <f t="shared" si="8"/>
        <v>9.4761570318580013E-3</v>
      </c>
      <c r="X64" s="168">
        <f t="shared" si="8"/>
        <v>0.13002388039363777</v>
      </c>
    </row>
    <row r="65" spans="1:24">
      <c r="A65" s="165">
        <v>1972</v>
      </c>
      <c r="B65" s="376">
        <v>0.18755362915074925</v>
      </c>
      <c r="C65" s="376">
        <v>4.0618399999999999E-2</v>
      </c>
      <c r="D65" s="376">
        <v>2.818449050444969E-2</v>
      </c>
      <c r="E65" s="376">
        <v>0.11409093579389698</v>
      </c>
      <c r="F65" s="376">
        <v>2.9757243539545897E-2</v>
      </c>
      <c r="G65" s="376">
        <v>0.48784961027051832</v>
      </c>
      <c r="H65" s="375">
        <f t="shared" si="9"/>
        <v>4761.7587115820115</v>
      </c>
      <c r="I65" s="163">
        <f t="shared" si="9"/>
        <v>255.53474710384677</v>
      </c>
      <c r="J65" s="163">
        <f t="shared" si="9"/>
        <v>359.42111852214714</v>
      </c>
      <c r="K65" s="163">
        <f t="shared" si="9"/>
        <v>808.99083761213103</v>
      </c>
      <c r="L65" s="163">
        <f t="shared" si="9"/>
        <v>373.07970241310801</v>
      </c>
      <c r="M65" s="163">
        <f t="shared" si="9"/>
        <v>314.43798449612405</v>
      </c>
      <c r="N65" s="162">
        <f t="shared" si="1"/>
        <v>0.14693522915074925</v>
      </c>
      <c r="O65" s="162">
        <f t="shared" si="2"/>
        <v>0.15936913864629956</v>
      </c>
      <c r="P65" s="164">
        <f t="shared" si="3"/>
        <v>7.3462693356852266E-2</v>
      </c>
      <c r="Q65" s="164">
        <f t="shared" si="7"/>
        <v>6.0804303728189568E-2</v>
      </c>
      <c r="R65" s="166">
        <v>3.4063299999999998E-2</v>
      </c>
      <c r="S65" s="168">
        <f t="shared" si="8"/>
        <v>0.14843417143877868</v>
      </c>
      <c r="T65" s="168">
        <f t="shared" si="8"/>
        <v>6.3391670509920228E-3</v>
      </c>
      <c r="U65" s="168">
        <f t="shared" si="8"/>
        <v>-5.6851543764778745E-3</v>
      </c>
      <c r="V65" s="168">
        <f t="shared" si="8"/>
        <v>7.739142835249746E-2</v>
      </c>
      <c r="W65" s="168">
        <f t="shared" si="8"/>
        <v>-4.1642097349882112E-3</v>
      </c>
      <c r="X65" s="168">
        <f t="shared" si="8"/>
        <v>0.43883803851323067</v>
      </c>
    </row>
    <row r="66" spans="1:24">
      <c r="A66" s="165">
        <v>1973</v>
      </c>
      <c r="B66" s="376">
        <v>-0.14308047437526472</v>
      </c>
      <c r="C66" s="376">
        <v>7.0354435483870964E-2</v>
      </c>
      <c r="D66" s="376">
        <v>3.6586646024150085E-2</v>
      </c>
      <c r="E66" s="376">
        <v>4.3180404854323576E-2</v>
      </c>
      <c r="F66" s="376">
        <v>3.4220532319391594E-2</v>
      </c>
      <c r="G66" s="376">
        <v>0.72958397534668706</v>
      </c>
      <c r="H66" s="375">
        <f t="shared" si="9"/>
        <v>4080.4440162683081</v>
      </c>
      <c r="I66" s="163">
        <f t="shared" si="9"/>
        <v>273.51274998285163</v>
      </c>
      <c r="J66" s="163">
        <f t="shared" si="9"/>
        <v>372.57113175912104</v>
      </c>
      <c r="K66" s="163">
        <f t="shared" si="9"/>
        <v>843.92338950366127</v>
      </c>
      <c r="L66" s="163">
        <f t="shared" si="9"/>
        <v>385.84668842724477</v>
      </c>
      <c r="M66" s="163">
        <f t="shared" si="9"/>
        <v>543.84689922480618</v>
      </c>
      <c r="N66" s="162">
        <f t="shared" si="1"/>
        <v>-0.21343490985913569</v>
      </c>
      <c r="O66" s="162">
        <f t="shared" si="2"/>
        <v>-0.17966712039941479</v>
      </c>
      <c r="P66" s="164">
        <f t="shared" si="3"/>
        <v>-0.18626087922958828</v>
      </c>
      <c r="Q66" s="164">
        <f t="shared" si="7"/>
        <v>5.4960045718843054E-2</v>
      </c>
      <c r="R66" s="166">
        <v>8.9411799999999986E-2</v>
      </c>
      <c r="S66" s="168">
        <f t="shared" si="8"/>
        <v>-0.21341082809573453</v>
      </c>
      <c r="T66" s="168">
        <f t="shared" si="8"/>
        <v>-1.7493260598176907E-2</v>
      </c>
      <c r="U66" s="168">
        <f t="shared" si="8"/>
        <v>-4.8489610609917855E-2</v>
      </c>
      <c r="V66" s="168">
        <f t="shared" si="8"/>
        <v>-4.2437024406818735E-2</v>
      </c>
      <c r="W66" s="168">
        <f t="shared" si="8"/>
        <v>-5.0661529167031594E-2</v>
      </c>
      <c r="X66" s="168">
        <f t="shared" si="8"/>
        <v>0.58763102744681772</v>
      </c>
    </row>
    <row r="67" spans="1:24">
      <c r="A67" s="165">
        <v>1974</v>
      </c>
      <c r="B67" s="376">
        <v>-0.25901785750896972</v>
      </c>
      <c r="C67" s="376">
        <v>7.8457831325301208E-2</v>
      </c>
      <c r="D67" s="376">
        <v>1.9886086932378574E-2</v>
      </c>
      <c r="E67" s="376">
        <v>-4.3807197977191667E-2</v>
      </c>
      <c r="F67" s="376">
        <v>0.10073529411764692</v>
      </c>
      <c r="G67" s="376">
        <v>0.66146993318485525</v>
      </c>
      <c r="H67" s="375">
        <f t="shared" si="9"/>
        <v>3023.5361494891954</v>
      </c>
      <c r="I67" s="163">
        <f t="shared" si="9"/>
        <v>294.97196718632551</v>
      </c>
      <c r="J67" s="163">
        <f t="shared" si="9"/>
        <v>379.98011367377757</v>
      </c>
      <c r="K67" s="163">
        <f t="shared" si="9"/>
        <v>806.9534705020917</v>
      </c>
      <c r="L67" s="163">
        <f t="shared" si="9"/>
        <v>424.71506807028334</v>
      </c>
      <c r="M67" s="163">
        <f t="shared" si="9"/>
        <v>903.58527131782944</v>
      </c>
      <c r="N67" s="162">
        <f t="shared" si="1"/>
        <v>-0.33747568883427093</v>
      </c>
      <c r="O67" s="162">
        <f t="shared" si="2"/>
        <v>-0.27890394444134831</v>
      </c>
      <c r="P67" s="164">
        <f t="shared" si="3"/>
        <v>-0.21521065953177804</v>
      </c>
      <c r="Q67" s="164">
        <f t="shared" si="7"/>
        <v>4.6417018581159875E-2</v>
      </c>
      <c r="R67" s="166">
        <v>0.1209503</v>
      </c>
      <c r="S67" s="168">
        <f t="shared" si="8"/>
        <v>-0.33896967377498333</v>
      </c>
      <c r="T67" s="168">
        <f t="shared" si="8"/>
        <v>-3.7907540302811626E-2</v>
      </c>
      <c r="U67" s="168">
        <f t="shared" si="8"/>
        <v>-9.0159405878763366E-2</v>
      </c>
      <c r="V67" s="168">
        <f t="shared" si="8"/>
        <v>-0.14698019883414259</v>
      </c>
      <c r="W67" s="168">
        <f t="shared" si="8"/>
        <v>-1.8033811028333013E-2</v>
      </c>
      <c r="X67" s="168">
        <f t="shared" si="8"/>
        <v>0.48219767922347234</v>
      </c>
    </row>
    <row r="68" spans="1:24">
      <c r="A68" s="165">
        <v>1975</v>
      </c>
      <c r="B68" s="376">
        <v>0.36995137106184356</v>
      </c>
      <c r="C68" s="376">
        <v>5.7863855421686747E-2</v>
      </c>
      <c r="D68" s="376">
        <v>3.6052536026033838E-2</v>
      </c>
      <c r="E68" s="376">
        <v>0.11049964074144952</v>
      </c>
      <c r="F68" s="376">
        <v>6.7737093749264288E-2</v>
      </c>
      <c r="G68" s="376">
        <v>-0.24798927613941024</v>
      </c>
      <c r="H68" s="375">
        <f t="shared" si="9"/>
        <v>4142.0974934477708</v>
      </c>
      <c r="I68" s="163">
        <f t="shared" si="9"/>
        <v>312.04018244904557</v>
      </c>
      <c r="J68" s="163">
        <f t="shared" si="9"/>
        <v>393.67936041117781</v>
      </c>
      <c r="K68" s="163">
        <f t="shared" si="9"/>
        <v>896.12153908763878</v>
      </c>
      <c r="L68" s="163">
        <f t="shared" si="9"/>
        <v>453.48403245288529</v>
      </c>
      <c r="M68" s="163">
        <f t="shared" si="9"/>
        <v>679.50581395348831</v>
      </c>
      <c r="N68" s="162">
        <f t="shared" si="1"/>
        <v>0.3120875156401568</v>
      </c>
      <c r="O68" s="162">
        <f t="shared" si="2"/>
        <v>0.33389883503580975</v>
      </c>
      <c r="P68" s="164">
        <f t="shared" si="3"/>
        <v>0.25945173032039404</v>
      </c>
      <c r="Q68" s="164">
        <f t="shared" si="7"/>
        <v>5.1706756781676244E-2</v>
      </c>
      <c r="R68" s="166">
        <v>7.129089999999999E-2</v>
      </c>
      <c r="S68" s="168">
        <f t="shared" si="8"/>
        <v>0.27878559508145151</v>
      </c>
      <c r="T68" s="168">
        <f t="shared" si="8"/>
        <v>-1.2533518746694394E-2</v>
      </c>
      <c r="U68" s="168">
        <f t="shared" si="8"/>
        <v>-3.2893366287313874E-2</v>
      </c>
      <c r="V68" s="168">
        <f t="shared" si="8"/>
        <v>3.6599527487304995E-2</v>
      </c>
      <c r="W68" s="168">
        <f t="shared" si="8"/>
        <v>-3.3173120865076511E-3</v>
      </c>
      <c r="X68" s="168">
        <f t="shared" si="8"/>
        <v>-0.29803312633329582</v>
      </c>
    </row>
    <row r="69" spans="1:24">
      <c r="A69" s="165">
        <v>1976</v>
      </c>
      <c r="B69" s="376">
        <v>0.23830999002106662</v>
      </c>
      <c r="C69" s="376">
        <v>4.9766000000000005E-2</v>
      </c>
      <c r="D69" s="376">
        <v>0.1598456074290921</v>
      </c>
      <c r="E69" s="376">
        <v>0.19752813987098014</v>
      </c>
      <c r="F69" s="376">
        <v>8.1778348568406711E-2</v>
      </c>
      <c r="G69" s="376">
        <v>-4.099821746880572E-2</v>
      </c>
      <c r="H69" s="375">
        <f t="shared" si="9"/>
        <v>5129.2007057775936</v>
      </c>
      <c r="I69" s="163">
        <f t="shared" si="9"/>
        <v>327.56917416880475</v>
      </c>
      <c r="J69" s="163">
        <f t="shared" si="9"/>
        <v>456.607276908399</v>
      </c>
      <c r="K69" s="163">
        <f t="shared" si="9"/>
        <v>1073.1307598019398</v>
      </c>
      <c r="L69" s="163">
        <f t="shared" si="9"/>
        <v>490.56920772902401</v>
      </c>
      <c r="M69" s="163">
        <f t="shared" si="9"/>
        <v>651.64728682170539</v>
      </c>
      <c r="N69" s="162">
        <f t="shared" si="1"/>
        <v>0.18854399002106662</v>
      </c>
      <c r="O69" s="162">
        <f t="shared" si="2"/>
        <v>7.8464382591974524E-2</v>
      </c>
      <c r="P69" s="164">
        <f t="shared" si="3"/>
        <v>4.0781850150086479E-2</v>
      </c>
      <c r="Q69" s="164">
        <f t="shared" si="7"/>
        <v>5.2196588038950109E-2</v>
      </c>
      <c r="R69" s="166">
        <v>5.03597E-2</v>
      </c>
      <c r="S69" s="168">
        <f t="shared" si="8"/>
        <v>0.1789389768296199</v>
      </c>
      <c r="T69" s="168">
        <f t="shared" si="8"/>
        <v>-5.6523493808835479E-4</v>
      </c>
      <c r="U69" s="168">
        <f t="shared" si="8"/>
        <v>0.10423658431401361</v>
      </c>
      <c r="V69" s="168">
        <f t="shared" si="8"/>
        <v>0.14011242041272154</v>
      </c>
      <c r="W69" s="168">
        <f t="shared" si="8"/>
        <v>2.9912275355201468E-2</v>
      </c>
      <c r="X69" s="168">
        <f t="shared" si="8"/>
        <v>-8.6977744356343534E-2</v>
      </c>
    </row>
    <row r="70" spans="1:24">
      <c r="A70" s="165">
        <v>1977</v>
      </c>
      <c r="B70" s="376">
        <v>-6.9797040759352322E-2</v>
      </c>
      <c r="C70" s="376">
        <v>5.2609638554216867E-2</v>
      </c>
      <c r="D70" s="376">
        <v>1.2899606071070449E-2</v>
      </c>
      <c r="E70" s="376">
        <v>9.9546628520906386E-2</v>
      </c>
      <c r="F70" s="376">
        <v>0.14654841300324728</v>
      </c>
      <c r="G70" s="376">
        <v>0.2263940520446095</v>
      </c>
      <c r="H70" s="375">
        <f t="shared" ref="H70:M85" si="10">H69*(1+B70)</f>
        <v>4771.1976750535359</v>
      </c>
      <c r="I70" s="163">
        <f t="shared" si="10"/>
        <v>344.80247002332891</v>
      </c>
      <c r="J70" s="163">
        <f t="shared" si="10"/>
        <v>462.49733090970153</v>
      </c>
      <c r="K70" s="163">
        <f t="shared" si="10"/>
        <v>1179.9573089023015</v>
      </c>
      <c r="L70" s="163">
        <f t="shared" si="10"/>
        <v>562.46134658997278</v>
      </c>
      <c r="M70" s="163">
        <f t="shared" si="10"/>
        <v>799.17635658914719</v>
      </c>
      <c r="N70" s="162">
        <f t="shared" si="1"/>
        <v>-0.12240667931356919</v>
      </c>
      <c r="O70" s="162">
        <f t="shared" si="2"/>
        <v>-8.2696646830422771E-2</v>
      </c>
      <c r="P70" s="164">
        <f t="shared" si="3"/>
        <v>-0.16934366928025871</v>
      </c>
      <c r="Q70" s="164">
        <f t="shared" si="7"/>
        <v>4.9266761357046551E-2</v>
      </c>
      <c r="R70" s="166">
        <v>6.6780800000000001E-2</v>
      </c>
      <c r="S70" s="168">
        <f t="shared" si="8"/>
        <v>-0.12802802671303459</v>
      </c>
      <c r="T70" s="168">
        <f t="shared" si="8"/>
        <v>-1.3284042462878176E-2</v>
      </c>
      <c r="U70" s="168">
        <f t="shared" si="8"/>
        <v>-5.0508214929374073E-2</v>
      </c>
      <c r="V70" s="168">
        <f t="shared" si="8"/>
        <v>3.0714677767828436E-2</v>
      </c>
      <c r="W70" s="168">
        <f t="shared" si="8"/>
        <v>7.4774136357953935E-2</v>
      </c>
      <c r="X70" s="168">
        <f t="shared" si="8"/>
        <v>0.14962141430049125</v>
      </c>
    </row>
    <row r="71" spans="1:24">
      <c r="A71" s="165">
        <v>1978</v>
      </c>
      <c r="B71" s="376">
        <v>6.50928391167193E-2</v>
      </c>
      <c r="C71" s="376">
        <v>7.1783064516129036E-2</v>
      </c>
      <c r="D71" s="376">
        <v>-7.7758069075086478E-3</v>
      </c>
      <c r="E71" s="376">
        <v>3.1375849771690861E-2</v>
      </c>
      <c r="F71" s="376">
        <v>0.15723596053112443</v>
      </c>
      <c r="G71" s="376">
        <v>0.37011215519854512</v>
      </c>
      <c r="H71" s="375">
        <f t="shared" si="10"/>
        <v>5081.7684777098611</v>
      </c>
      <c r="I71" s="163">
        <f t="shared" si="10"/>
        <v>369.55344797433418</v>
      </c>
      <c r="J71" s="163">
        <f t="shared" si="10"/>
        <v>458.90104096930958</v>
      </c>
      <c r="K71" s="163">
        <f t="shared" si="10"/>
        <v>1216.9794721634289</v>
      </c>
      <c r="L71" s="163">
        <f t="shared" si="10"/>
        <v>650.90049668267682</v>
      </c>
      <c r="M71" s="163">
        <f t="shared" si="10"/>
        <v>1094.9612403100775</v>
      </c>
      <c r="N71" s="162">
        <f t="shared" si="1"/>
        <v>-6.6902253994097355E-3</v>
      </c>
      <c r="O71" s="162">
        <f t="shared" si="2"/>
        <v>7.2868646024227948E-2</v>
      </c>
      <c r="P71" s="164">
        <f t="shared" si="3"/>
        <v>3.3716989345028439E-2</v>
      </c>
      <c r="Q71" s="164">
        <f t="shared" si="7"/>
        <v>4.9741898913203242E-2</v>
      </c>
      <c r="R71" s="166">
        <v>8.9887599999999998E-2</v>
      </c>
      <c r="S71" s="168">
        <f t="shared" si="8"/>
        <v>-2.2749832994962582E-2</v>
      </c>
      <c r="T71" s="168">
        <f t="shared" si="8"/>
        <v>-1.6611378534695631E-2</v>
      </c>
      <c r="U71" s="168">
        <f t="shared" si="8"/>
        <v>-8.9608696261438969E-2</v>
      </c>
      <c r="V71" s="168">
        <f t="shared" si="8"/>
        <v>-5.3686040861744888E-2</v>
      </c>
      <c r="W71" s="168">
        <f t="shared" si="8"/>
        <v>6.1793858863175011E-2</v>
      </c>
      <c r="X71" s="168">
        <f t="shared" si="8"/>
        <v>0.25711326121936362</v>
      </c>
    </row>
    <row r="72" spans="1:24">
      <c r="A72" s="165">
        <v>1979</v>
      </c>
      <c r="B72" s="376">
        <v>0.18519490167516386</v>
      </c>
      <c r="C72" s="376">
        <v>0.10054274193548388</v>
      </c>
      <c r="D72" s="376">
        <v>6.7072031247235459E-3</v>
      </c>
      <c r="E72" s="376">
        <v>-2.0091101436615355E-2</v>
      </c>
      <c r="F72" s="376">
        <v>0.13742466907023854</v>
      </c>
      <c r="G72" s="376">
        <v>1.2654867256637168</v>
      </c>
      <c r="H72" s="375">
        <f t="shared" si="10"/>
        <v>6022.8860912752862</v>
      </c>
      <c r="I72" s="163">
        <f t="shared" si="10"/>
        <v>406.7093649253859</v>
      </c>
      <c r="J72" s="163">
        <f t="shared" si="10"/>
        <v>461.97898346523777</v>
      </c>
      <c r="K72" s="163">
        <f t="shared" si="10"/>
        <v>1192.5290141419148</v>
      </c>
      <c r="L72" s="163">
        <f t="shared" si="10"/>
        <v>740.35028203694753</v>
      </c>
      <c r="M72" s="163">
        <f t="shared" si="10"/>
        <v>2480.6201550387595</v>
      </c>
      <c r="N72" s="162">
        <f t="shared" si="1"/>
        <v>8.4652159739679989E-2</v>
      </c>
      <c r="O72" s="162">
        <f t="shared" si="2"/>
        <v>0.17848769855044033</v>
      </c>
      <c r="P72" s="164">
        <f t="shared" si="3"/>
        <v>0.20528600311177922</v>
      </c>
      <c r="Q72" s="164">
        <f t="shared" si="7"/>
        <v>5.2132252828986925E-2</v>
      </c>
      <c r="R72" s="166">
        <v>0.1325479</v>
      </c>
      <c r="S72" s="168">
        <f t="shared" si="8"/>
        <v>4.648545255804537E-2</v>
      </c>
      <c r="T72" s="168">
        <f t="shared" si="8"/>
        <v>-2.8259429967170679E-2</v>
      </c>
      <c r="U72" s="168">
        <f t="shared" si="8"/>
        <v>-0.11111291352469643</v>
      </c>
      <c r="V72" s="168">
        <f t="shared" si="8"/>
        <v>-0.13477487480804606</v>
      </c>
      <c r="W72" s="168">
        <f t="shared" si="8"/>
        <v>4.3060157281105127E-3</v>
      </c>
      <c r="X72" s="168">
        <f t="shared" si="8"/>
        <v>1.0003451736246358</v>
      </c>
    </row>
    <row r="73" spans="1:24">
      <c r="A73" s="165">
        <v>1980</v>
      </c>
      <c r="B73" s="376">
        <v>0.3173524550676301</v>
      </c>
      <c r="C73" s="376">
        <v>0.1139188</v>
      </c>
      <c r="D73" s="376">
        <v>-2.989744251999403E-2</v>
      </c>
      <c r="E73" s="376">
        <v>-3.3156783371910456E-2</v>
      </c>
      <c r="F73" s="376">
        <v>7.3968672635987165E-2</v>
      </c>
      <c r="G73" s="376">
        <v>0.15185546875</v>
      </c>
      <c r="H73" s="375">
        <f t="shared" si="10"/>
        <v>7934.2637789341807</v>
      </c>
      <c r="I73" s="163">
        <f t="shared" si="10"/>
        <v>453.04120772644796</v>
      </c>
      <c r="J73" s="163">
        <f t="shared" si="10"/>
        <v>448.16699336164055</v>
      </c>
      <c r="K73" s="163">
        <f t="shared" si="10"/>
        <v>1152.9885879552935</v>
      </c>
      <c r="L73" s="163">
        <f t="shared" si="10"/>
        <v>795.11300968489923</v>
      </c>
      <c r="M73" s="163">
        <f t="shared" si="10"/>
        <v>2857.3158914728679</v>
      </c>
      <c r="N73" s="162">
        <f t="shared" si="1"/>
        <v>0.20343365506763011</v>
      </c>
      <c r="O73" s="162">
        <f t="shared" si="2"/>
        <v>0.34724989758762415</v>
      </c>
      <c r="P73" s="164">
        <f t="shared" si="3"/>
        <v>0.35050923843954057</v>
      </c>
      <c r="Q73" s="164">
        <f t="shared" si="7"/>
        <v>5.7318705257589642E-2</v>
      </c>
      <c r="R73" s="166">
        <v>0.1235371</v>
      </c>
      <c r="S73" s="168">
        <f t="shared" si="8"/>
        <v>0.17250463297351737</v>
      </c>
      <c r="T73" s="168">
        <f t="shared" si="8"/>
        <v>-8.5607319954099648E-3</v>
      </c>
      <c r="U73" s="168">
        <f t="shared" si="8"/>
        <v>-0.13656384156784329</v>
      </c>
      <c r="V73" s="168">
        <f t="shared" si="8"/>
        <v>-0.13946480572106645</v>
      </c>
      <c r="W73" s="168">
        <f t="shared" si="8"/>
        <v>-4.4118193661796257E-2</v>
      </c>
      <c r="X73" s="168">
        <f t="shared" si="8"/>
        <v>2.5204658350845621E-2</v>
      </c>
    </row>
    <row r="74" spans="1:24">
      <c r="A74" s="165">
        <v>1981</v>
      </c>
      <c r="B74" s="376">
        <v>-4.7023902474955762E-2</v>
      </c>
      <c r="C74" s="376">
        <v>0.14036184738955823</v>
      </c>
      <c r="D74" s="376">
        <v>8.1992153358923542E-2</v>
      </c>
      <c r="E74" s="376">
        <v>8.4623994808912056E-2</v>
      </c>
      <c r="F74" s="376">
        <v>5.0950062475763724E-2</v>
      </c>
      <c r="G74" s="376">
        <v>-0.32598558711318359</v>
      </c>
      <c r="H74" s="375">
        <f t="shared" si="10"/>
        <v>7561.1637327830058</v>
      </c>
      <c r="I74" s="163">
        <f t="shared" si="10"/>
        <v>516.63090858652879</v>
      </c>
      <c r="J74" s="163">
        <f t="shared" si="10"/>
        <v>484.91317021175587</v>
      </c>
      <c r="K74" s="163">
        <f t="shared" si="10"/>
        <v>1250.5590882371571</v>
      </c>
      <c r="L74" s="163">
        <f t="shared" si="10"/>
        <v>835.62406720363742</v>
      </c>
      <c r="M74" s="163">
        <f t="shared" si="10"/>
        <v>1925.8720930232555</v>
      </c>
      <c r="N74" s="162">
        <f t="shared" si="1"/>
        <v>-0.18738574986451401</v>
      </c>
      <c r="O74" s="162">
        <f t="shared" si="2"/>
        <v>-0.12901605583387932</v>
      </c>
      <c r="P74" s="164">
        <f t="shared" si="3"/>
        <v>-0.13164789728386783</v>
      </c>
      <c r="Q74" s="164">
        <f t="shared" si="7"/>
        <v>5.3730990468644491E-2</v>
      </c>
      <c r="R74" s="166">
        <v>8.9120399999999989E-2</v>
      </c>
      <c r="S74" s="168">
        <f t="shared" si="8"/>
        <v>-0.12500390450399779</v>
      </c>
      <c r="T74" s="168">
        <f t="shared" si="8"/>
        <v>4.7048469011835792E-2</v>
      </c>
      <c r="U74" s="168">
        <f t="shared" si="8"/>
        <v>-6.5449574180012071E-3</v>
      </c>
      <c r="V74" s="168">
        <f t="shared" si="8"/>
        <v>-4.1284739419884531E-3</v>
      </c>
      <c r="W74" s="168">
        <f t="shared" si="8"/>
        <v>-3.504694019525878E-2</v>
      </c>
      <c r="X74" s="168">
        <f t="shared" si="8"/>
        <v>-0.38113874931842584</v>
      </c>
    </row>
    <row r="75" spans="1:24">
      <c r="A75" s="165">
        <v>1982</v>
      </c>
      <c r="B75" s="376">
        <v>0.20419055079559353</v>
      </c>
      <c r="C75" s="376">
        <v>0.10603413654618475</v>
      </c>
      <c r="D75" s="376">
        <v>0.32814549486295586</v>
      </c>
      <c r="E75" s="376">
        <v>0.2905245565590866</v>
      </c>
      <c r="F75" s="376">
        <v>5.6372096837011831E-3</v>
      </c>
      <c r="G75" s="376">
        <v>0.15622641509433977</v>
      </c>
      <c r="H75" s="375">
        <f t="shared" si="10"/>
        <v>9105.0819200356327</v>
      </c>
      <c r="I75" s="163">
        <f t="shared" si="10"/>
        <v>571.41142089157233</v>
      </c>
      <c r="J75" s="163">
        <f t="shared" si="10"/>
        <v>644.03524241645721</v>
      </c>
      <c r="K75" s="163">
        <f t="shared" si="10"/>
        <v>1613.8772127981929</v>
      </c>
      <c r="L75" s="163">
        <f t="shared" si="10"/>
        <v>840.33465528721149</v>
      </c>
      <c r="M75" s="163">
        <f t="shared" si="10"/>
        <v>2226.7441860465115</v>
      </c>
      <c r="N75" s="162">
        <f t="shared" si="1"/>
        <v>9.8156414249408783E-2</v>
      </c>
      <c r="O75" s="162">
        <f t="shared" si="2"/>
        <v>-0.12395494406736232</v>
      </c>
      <c r="P75" s="164">
        <f t="shared" si="3"/>
        <v>-8.6334005763493066E-2</v>
      </c>
      <c r="Q75" s="164">
        <f t="shared" si="7"/>
        <v>5.1038688692139678E-2</v>
      </c>
      <c r="R75" s="166">
        <v>3.8257199999999998E-2</v>
      </c>
      <c r="S75" s="168">
        <f t="shared" si="8"/>
        <v>0.15981911880369659</v>
      </c>
      <c r="T75" s="168">
        <f t="shared" si="8"/>
        <v>6.5279524713322212E-2</v>
      </c>
      <c r="U75" s="168">
        <f t="shared" si="8"/>
        <v>0.27920663094169318</v>
      </c>
      <c r="V75" s="168">
        <f t="shared" si="8"/>
        <v>0.2429719308077869</v>
      </c>
      <c r="W75" s="168">
        <f t="shared" si="8"/>
        <v>-3.1418024663155686E-2</v>
      </c>
      <c r="X75" s="168">
        <f t="shared" si="8"/>
        <v>0.11362234241606006</v>
      </c>
    </row>
    <row r="76" spans="1:24">
      <c r="A76" s="165">
        <v>1983</v>
      </c>
      <c r="B76" s="376">
        <v>0.22337155858930619</v>
      </c>
      <c r="C76" s="376">
        <v>8.61764E-2</v>
      </c>
      <c r="D76" s="376">
        <v>3.2002094451429264E-2</v>
      </c>
      <c r="E76" s="376">
        <v>0.16194289622798344</v>
      </c>
      <c r="F76" s="376">
        <v>4.7494802071017972E-2</v>
      </c>
      <c r="G76" s="376">
        <v>-0.16797214969538743</v>
      </c>
      <c r="H76" s="375">
        <f t="shared" si="10"/>
        <v>11138.898259597305</v>
      </c>
      <c r="I76" s="163">
        <f t="shared" si="10"/>
        <v>620.65360006289291</v>
      </c>
      <c r="J76" s="163">
        <f t="shared" si="10"/>
        <v>664.64571907431775</v>
      </c>
      <c r="K76" s="163">
        <f t="shared" si="10"/>
        <v>1875.2331627950778</v>
      </c>
      <c r="L76" s="163">
        <f t="shared" si="10"/>
        <v>880.24618341349469</v>
      </c>
      <c r="M76" s="163">
        <f t="shared" si="10"/>
        <v>1852.7131782945733</v>
      </c>
      <c r="N76" s="162">
        <f t="shared" si="1"/>
        <v>0.1371951585893062</v>
      </c>
      <c r="O76" s="162">
        <f t="shared" si="2"/>
        <v>0.19136946413787692</v>
      </c>
      <c r="P76" s="164">
        <f t="shared" si="3"/>
        <v>6.1428662361322744E-2</v>
      </c>
      <c r="Q76" s="164">
        <f t="shared" si="7"/>
        <v>5.3402830654563971E-2</v>
      </c>
      <c r="R76" s="166">
        <v>3.7871000000000002E-2</v>
      </c>
      <c r="S76" s="168">
        <f t="shared" si="8"/>
        <v>0.17873180635098795</v>
      </c>
      <c r="T76" s="168">
        <f t="shared" si="8"/>
        <v>4.6542778437782761E-2</v>
      </c>
      <c r="U76" s="168">
        <f t="shared" si="8"/>
        <v>-5.654754346706703E-3</v>
      </c>
      <c r="V76" s="168">
        <f t="shared" si="8"/>
        <v>0.11954462185375969</v>
      </c>
      <c r="W76" s="168">
        <f t="shared" si="8"/>
        <v>9.272637997417732E-3</v>
      </c>
      <c r="X76" s="168">
        <f t="shared" si="8"/>
        <v>-0.19833211419857322</v>
      </c>
    </row>
    <row r="77" spans="1:24">
      <c r="A77" s="165">
        <v>1984</v>
      </c>
      <c r="B77" s="376">
        <v>6.14614199963621E-2</v>
      </c>
      <c r="C77" s="376">
        <v>9.5402811244979929E-2</v>
      </c>
      <c r="D77" s="376">
        <v>0.13733364344102345</v>
      </c>
      <c r="E77" s="376">
        <v>0.15619207332454216</v>
      </c>
      <c r="F77" s="376">
        <v>4.6781349731454869E-2</v>
      </c>
      <c r="G77" s="376">
        <v>-0.193776150627615</v>
      </c>
      <c r="H77" s="375">
        <f t="shared" si="10"/>
        <v>11823.510763827162</v>
      </c>
      <c r="I77" s="163">
        <f t="shared" si="10"/>
        <v>679.86569831821032</v>
      </c>
      <c r="J77" s="163">
        <f t="shared" si="10"/>
        <v>755.92393727227272</v>
      </c>
      <c r="K77" s="163">
        <f t="shared" si="10"/>
        <v>2168.1297184589794</v>
      </c>
      <c r="L77" s="163">
        <f t="shared" si="10"/>
        <v>921.4252879695398</v>
      </c>
      <c r="M77" s="163">
        <f t="shared" si="10"/>
        <v>1493.7015503875966</v>
      </c>
      <c r="N77" s="162">
        <f t="shared" si="1"/>
        <v>-3.3941391248617829E-2</v>
      </c>
      <c r="O77" s="162">
        <f t="shared" si="2"/>
        <v>-7.5872223444661352E-2</v>
      </c>
      <c r="P77" s="164">
        <f t="shared" si="3"/>
        <v>-9.4730653328180064E-2</v>
      </c>
      <c r="Q77" s="164">
        <f t="shared" si="7"/>
        <v>5.1212126318051387E-2</v>
      </c>
      <c r="R77" s="166">
        <v>4.0433899999999995E-2</v>
      </c>
      <c r="S77" s="168">
        <f t="shared" si="8"/>
        <v>2.0210337241377996E-2</v>
      </c>
      <c r="T77" s="168">
        <f t="shared" si="8"/>
        <v>5.2832679947260264E-2</v>
      </c>
      <c r="U77" s="168">
        <f t="shared" si="8"/>
        <v>9.3133973663318326E-2</v>
      </c>
      <c r="V77" s="168">
        <f t="shared" si="8"/>
        <v>0.11125951713467042</v>
      </c>
      <c r="W77" s="168">
        <f t="shared" si="8"/>
        <v>6.1007717371135417E-3</v>
      </c>
      <c r="X77" s="168">
        <f t="shared" si="8"/>
        <v>-0.22510805407975942</v>
      </c>
    </row>
    <row r="78" spans="1:24">
      <c r="A78" s="165">
        <v>1985</v>
      </c>
      <c r="B78" s="376">
        <v>0.31235149485768948</v>
      </c>
      <c r="C78" s="376">
        <v>7.4711290322580642E-2</v>
      </c>
      <c r="D78" s="376">
        <v>0.2571248821260641</v>
      </c>
      <c r="E78" s="376">
        <v>0.23862641849916477</v>
      </c>
      <c r="F78" s="376">
        <v>7.4713712076145189E-2</v>
      </c>
      <c r="G78" s="376">
        <v>6.0006487187804103E-2</v>
      </c>
      <c r="H78" s="375">
        <f t="shared" si="10"/>
        <v>15516.602025374559</v>
      </c>
      <c r="I78" s="163">
        <f t="shared" si="10"/>
        <v>730.65934188562619</v>
      </c>
      <c r="J78" s="163">
        <f t="shared" si="10"/>
        <v>950.2907905396761</v>
      </c>
      <c r="K78" s="163">
        <f t="shared" si="10"/>
        <v>2685.5027480164476</v>
      </c>
      <c r="L78" s="163">
        <f t="shared" si="10"/>
        <v>990.26839163457521</v>
      </c>
      <c r="M78" s="163">
        <f t="shared" si="10"/>
        <v>1583.333333333333</v>
      </c>
      <c r="N78" s="162">
        <f t="shared" si="1"/>
        <v>0.23764020453510884</v>
      </c>
      <c r="O78" s="162">
        <f t="shared" si="2"/>
        <v>5.522661273162538E-2</v>
      </c>
      <c r="P78" s="164">
        <f t="shared" si="3"/>
        <v>7.372507635852471E-2</v>
      </c>
      <c r="Q78" s="164">
        <f t="shared" si="7"/>
        <v>5.1284365102581608E-2</v>
      </c>
      <c r="R78" s="166">
        <v>3.7914699999999996E-2</v>
      </c>
      <c r="S78" s="168">
        <f t="shared" si="8"/>
        <v>0.26441170440855077</v>
      </c>
      <c r="T78" s="168">
        <f t="shared" si="8"/>
        <v>3.5452422364362635E-2</v>
      </c>
      <c r="U78" s="168">
        <f t="shared" si="8"/>
        <v>0.21120250260070894</v>
      </c>
      <c r="V78" s="168">
        <f t="shared" si="8"/>
        <v>0.19337978207569928</v>
      </c>
      <c r="W78" s="168">
        <f t="shared" si="8"/>
        <v>3.5454755652025272E-2</v>
      </c>
      <c r="X78" s="168">
        <f t="shared" si="8"/>
        <v>2.1284781097911099E-2</v>
      </c>
    </row>
    <row r="79" spans="1:24">
      <c r="A79" s="165">
        <v>1986</v>
      </c>
      <c r="B79" s="376">
        <v>0.18494578758046187</v>
      </c>
      <c r="C79" s="376">
        <v>5.9692800000000004E-2</v>
      </c>
      <c r="D79" s="376">
        <v>0.24284215141767618</v>
      </c>
      <c r="E79" s="376">
        <v>0.21354060117746398</v>
      </c>
      <c r="F79" s="376">
        <v>9.6123575098164826E-2</v>
      </c>
      <c r="G79" s="376">
        <v>0.18956548347613222</v>
      </c>
      <c r="H79" s="375">
        <f t="shared" si="10"/>
        <v>18386.332207530046</v>
      </c>
      <c r="I79" s="163">
        <f t="shared" si="10"/>
        <v>774.27444384893658</v>
      </c>
      <c r="J79" s="163">
        <f t="shared" si="10"/>
        <v>1181.0614505867354</v>
      </c>
      <c r="K79" s="163">
        <f t="shared" si="10"/>
        <v>3258.9666192916111</v>
      </c>
      <c r="L79" s="163">
        <f t="shared" si="10"/>
        <v>1085.4565297452002</v>
      </c>
      <c r="M79" s="163">
        <f t="shared" si="10"/>
        <v>1883.4786821705422</v>
      </c>
      <c r="N79" s="162">
        <f t="shared" si="1"/>
        <v>0.12525298758046188</v>
      </c>
      <c r="O79" s="162">
        <f t="shared" si="2"/>
        <v>-5.7896363837214304E-2</v>
      </c>
      <c r="P79" s="164">
        <f t="shared" si="3"/>
        <v>-2.8594813597002111E-2</v>
      </c>
      <c r="Q79" s="164">
        <f t="shared" si="7"/>
        <v>4.9663565599739057E-2</v>
      </c>
      <c r="R79" s="166">
        <v>1.1872100000000002E-2</v>
      </c>
      <c r="S79" s="168">
        <f t="shared" si="8"/>
        <v>0.17104304741721998</v>
      </c>
      <c r="T79" s="168">
        <f t="shared" si="8"/>
        <v>4.7259628959035682E-2</v>
      </c>
      <c r="U79" s="168">
        <f t="shared" si="8"/>
        <v>0.22826012439484811</v>
      </c>
      <c r="V79" s="168">
        <f t="shared" si="8"/>
        <v>0.19930236358672593</v>
      </c>
      <c r="W79" s="168">
        <f t="shared" si="8"/>
        <v>8.3262968806200766E-2</v>
      </c>
      <c r="X79" s="168">
        <f t="shared" si="8"/>
        <v>0.17560854131281256</v>
      </c>
    </row>
    <row r="80" spans="1:24">
      <c r="A80" s="165">
        <v>1987</v>
      </c>
      <c r="B80" s="376">
        <v>5.8127216418218712E-2</v>
      </c>
      <c r="C80" s="376">
        <v>5.7773600000000001E-2</v>
      </c>
      <c r="D80" s="376">
        <v>-4.9605089379262279E-2</v>
      </c>
      <c r="E80" s="376">
        <v>2.8125853555458283E-2</v>
      </c>
      <c r="F80" s="376">
        <v>7.852543870723383E-2</v>
      </c>
      <c r="G80" s="376">
        <v>0.24527331189710622</v>
      </c>
      <c r="H80" s="375">
        <f t="shared" si="10"/>
        <v>19455.07851889441</v>
      </c>
      <c r="I80" s="163">
        <f t="shared" si="10"/>
        <v>819.00706585808746</v>
      </c>
      <c r="J80" s="163">
        <f t="shared" si="10"/>
        <v>1122.4747917679792</v>
      </c>
      <c r="K80" s="163">
        <f t="shared" si="10"/>
        <v>3350.6278371679336</v>
      </c>
      <c r="L80" s="163">
        <f t="shared" si="10"/>
        <v>1170.6924799410738</v>
      </c>
      <c r="M80" s="163">
        <f t="shared" si="10"/>
        <v>2345.4457364341083</v>
      </c>
      <c r="N80" s="162">
        <f t="shared" si="1"/>
        <v>3.536164182187107E-4</v>
      </c>
      <c r="O80" s="162">
        <f t="shared" si="2"/>
        <v>0.107732305797481</v>
      </c>
      <c r="P80" s="164">
        <f t="shared" si="3"/>
        <v>3.0001362862760429E-2</v>
      </c>
      <c r="Q80" s="164">
        <f t="shared" si="7"/>
        <v>5.0693590437507208E-2</v>
      </c>
      <c r="R80" s="166">
        <v>4.33213E-2</v>
      </c>
      <c r="S80" s="168">
        <f t="shared" si="8"/>
        <v>1.419113787691173E-2</v>
      </c>
      <c r="T80" s="168">
        <f t="shared" si="8"/>
        <v>1.3852204493476794E-2</v>
      </c>
      <c r="U80" s="168">
        <f t="shared" si="8"/>
        <v>-8.906785414930396E-2</v>
      </c>
      <c r="V80" s="168">
        <f t="shared" si="8"/>
        <v>-1.4564493645957022E-2</v>
      </c>
      <c r="W80" s="168">
        <f t="shared" si="8"/>
        <v>3.3742375150621395E-2</v>
      </c>
      <c r="X80" s="168">
        <f t="shared" si="8"/>
        <v>0.19356646116312048</v>
      </c>
    </row>
    <row r="81" spans="1:24">
      <c r="A81" s="165">
        <v>1988</v>
      </c>
      <c r="B81" s="376">
        <v>0.16537192812044688</v>
      </c>
      <c r="C81" s="376">
        <v>6.6684400000000005E-2</v>
      </c>
      <c r="D81" s="376">
        <v>8.2235958434841674E-2</v>
      </c>
      <c r="E81" s="376">
        <v>0.14382285179475657</v>
      </c>
      <c r="F81" s="376">
        <v>7.2208240664871859E-2</v>
      </c>
      <c r="G81" s="376">
        <v>-0.15255112580045449</v>
      </c>
      <c r="H81" s="375">
        <f t="shared" si="10"/>
        <v>22672.402365298665</v>
      </c>
      <c r="I81" s="163">
        <f t="shared" si="10"/>
        <v>873.62206064059444</v>
      </c>
      <c r="J81" s="163">
        <f t="shared" si="10"/>
        <v>1214.7825820879684</v>
      </c>
      <c r="K81" s="163">
        <f t="shared" si="10"/>
        <v>3832.5246880123232</v>
      </c>
      <c r="L81" s="163">
        <f t="shared" si="10"/>
        <v>1255.2261242772145</v>
      </c>
      <c r="M81" s="163">
        <f t="shared" si="10"/>
        <v>1987.645348837209</v>
      </c>
      <c r="N81" s="162">
        <f t="shared" si="1"/>
        <v>9.8687528120446871E-2</v>
      </c>
      <c r="O81" s="162">
        <f t="shared" si="2"/>
        <v>8.3135969685605202E-2</v>
      </c>
      <c r="P81" s="164">
        <f t="shared" si="3"/>
        <v>2.1549076325690308E-2</v>
      </c>
      <c r="Q81" s="164">
        <f t="shared" si="7"/>
        <v>5.1199933578993884E-2</v>
      </c>
      <c r="R81" s="166">
        <v>4.41176E-2</v>
      </c>
      <c r="S81" s="168">
        <f t="shared" si="8"/>
        <v>0.11613091103956763</v>
      </c>
      <c r="T81" s="168">
        <f t="shared" si="8"/>
        <v>2.1613274213555966E-2</v>
      </c>
      <c r="U81" s="168">
        <f t="shared" si="8"/>
        <v>3.6507725216816223E-2</v>
      </c>
      <c r="V81" s="168">
        <f t="shared" si="8"/>
        <v>9.5492358135478739E-2</v>
      </c>
      <c r="W81" s="168">
        <f t="shared" si="8"/>
        <v>2.6903713398636064E-2</v>
      </c>
      <c r="X81" s="168">
        <f t="shared" si="8"/>
        <v>-0.1883587881292822</v>
      </c>
    </row>
    <row r="82" spans="1:24">
      <c r="A82" s="165">
        <v>1989</v>
      </c>
      <c r="B82" s="376">
        <v>0.31475183638196724</v>
      </c>
      <c r="C82" s="376">
        <v>8.111560000000001E-2</v>
      </c>
      <c r="D82" s="376">
        <v>0.17693647159446219</v>
      </c>
      <c r="E82" s="376">
        <v>0.15948974901357249</v>
      </c>
      <c r="F82" s="376">
        <v>4.3928001200889799E-2</v>
      </c>
      <c r="G82" s="376">
        <v>-2.8397318708104802E-2</v>
      </c>
      <c r="H82" s="375">
        <f t="shared" si="10"/>
        <v>29808.582644967279</v>
      </c>
      <c r="I82" s="163">
        <f t="shared" si="10"/>
        <v>944.48643826269256</v>
      </c>
      <c r="J82" s="163">
        <f t="shared" si="10"/>
        <v>1429.7219259170236</v>
      </c>
      <c r="K82" s="163">
        <f t="shared" si="10"/>
        <v>4443.773088591729</v>
      </c>
      <c r="L82" s="163">
        <f t="shared" si="10"/>
        <v>1310.3656989718522</v>
      </c>
      <c r="M82" s="163">
        <f t="shared" si="10"/>
        <v>1931.2015503875966</v>
      </c>
      <c r="N82" s="162">
        <f t="shared" si="1"/>
        <v>0.23363623638196723</v>
      </c>
      <c r="O82" s="162">
        <f t="shared" si="2"/>
        <v>0.13781536478750506</v>
      </c>
      <c r="P82" s="164">
        <f t="shared" si="3"/>
        <v>0.15526208736839475</v>
      </c>
      <c r="Q82" s="164">
        <f t="shared" si="7"/>
        <v>5.240982169336883E-2</v>
      </c>
      <c r="R82" s="166">
        <v>4.6396E-2</v>
      </c>
      <c r="S82" s="168">
        <f t="shared" si="8"/>
        <v>0.25645724599670405</v>
      </c>
      <c r="T82" s="168">
        <f t="shared" si="8"/>
        <v>3.3180172707082178E-2</v>
      </c>
      <c r="U82" s="168">
        <f t="shared" si="8"/>
        <v>0.12475245661724821</v>
      </c>
      <c r="V82" s="168">
        <f t="shared" si="8"/>
        <v>0.10807930173048486</v>
      </c>
      <c r="W82" s="168">
        <f t="shared" si="8"/>
        <v>-2.3585705594347806E-3</v>
      </c>
      <c r="X82" s="168">
        <f t="shared" si="8"/>
        <v>-7.1477068631861096E-2</v>
      </c>
    </row>
    <row r="83" spans="1:24">
      <c r="A83" s="165">
        <v>1990</v>
      </c>
      <c r="B83" s="376">
        <v>-3.0644516129032118E-2</v>
      </c>
      <c r="C83" s="376">
        <v>7.4964799999999998E-2</v>
      </c>
      <c r="D83" s="376">
        <v>6.2353753335533363E-2</v>
      </c>
      <c r="E83" s="376">
        <v>6.2807165619478592E-2</v>
      </c>
      <c r="F83" s="376">
        <v>-6.8759967580853676E-3</v>
      </c>
      <c r="G83" s="376">
        <v>-3.1108881083793394E-2</v>
      </c>
      <c r="H83" s="375">
        <f t="shared" si="10"/>
        <v>28895.113053319994</v>
      </c>
      <c r="I83" s="163">
        <f t="shared" si="10"/>
        <v>1015.2896752097677</v>
      </c>
      <c r="J83" s="163">
        <f t="shared" si="10"/>
        <v>1518.8704542240573</v>
      </c>
      <c r="K83" s="163">
        <f t="shared" si="10"/>
        <v>4722.8738809422921</v>
      </c>
      <c r="L83" s="163">
        <f t="shared" si="10"/>
        <v>1301.3556286738155</v>
      </c>
      <c r="M83" s="163">
        <f t="shared" si="10"/>
        <v>1871.1240310077515</v>
      </c>
      <c r="N83" s="162">
        <f t="shared" si="1"/>
        <v>-0.10560931612903211</v>
      </c>
      <c r="O83" s="162">
        <f t="shared" si="2"/>
        <v>-9.2998269464565478E-2</v>
      </c>
      <c r="P83" s="164">
        <f t="shared" si="3"/>
        <v>-9.3451681748510707E-2</v>
      </c>
      <c r="Q83" s="164">
        <f t="shared" si="7"/>
        <v>4.9979953137364364E-2</v>
      </c>
      <c r="R83" s="166">
        <v>6.2549499999999994E-2</v>
      </c>
      <c r="S83" s="168">
        <f t="shared" si="8"/>
        <v>-8.7707929022631026E-2</v>
      </c>
      <c r="T83" s="168">
        <f t="shared" si="8"/>
        <v>1.1684443877673534E-2</v>
      </c>
      <c r="U83" s="168">
        <f t="shared" si="8"/>
        <v>-1.8422357214098461E-4</v>
      </c>
      <c r="V83" s="168">
        <f t="shared" si="8"/>
        <v>2.4249752080129916E-4</v>
      </c>
      <c r="W83" s="168">
        <f t="shared" si="8"/>
        <v>-6.5338599997539326E-2</v>
      </c>
      <c r="X83" s="168">
        <f t="shared" si="8"/>
        <v>-8.8144958031407872E-2</v>
      </c>
    </row>
    <row r="84" spans="1:24">
      <c r="A84" s="165">
        <v>1991</v>
      </c>
      <c r="B84" s="376">
        <v>0.30234843134879757</v>
      </c>
      <c r="C84" s="376">
        <v>5.3756000000000005E-2</v>
      </c>
      <c r="D84" s="376">
        <v>0.15004510019517303</v>
      </c>
      <c r="E84" s="376">
        <v>0.18928042873950041</v>
      </c>
      <c r="F84" s="376">
        <v>-1.6979939977885827E-3</v>
      </c>
      <c r="G84" s="376">
        <v>-8.5577421025375466E-2</v>
      </c>
      <c r="H84" s="375">
        <f t="shared" si="10"/>
        <v>37631.505158637461</v>
      </c>
      <c r="I84" s="163">
        <f t="shared" si="10"/>
        <v>1069.8675869903439</v>
      </c>
      <c r="J84" s="163">
        <f t="shared" si="10"/>
        <v>1746.769523711594</v>
      </c>
      <c r="K84" s="163">
        <f t="shared" si="10"/>
        <v>5616.8214740096373</v>
      </c>
      <c r="L84" s="163">
        <f t="shared" si="10"/>
        <v>1299.1459346273391</v>
      </c>
      <c r="M84" s="163">
        <f t="shared" si="10"/>
        <v>1710.9980620155034</v>
      </c>
      <c r="N84" s="162">
        <f t="shared" si="1"/>
        <v>0.24859243134879758</v>
      </c>
      <c r="O84" s="162">
        <f t="shared" si="2"/>
        <v>0.15230333115362454</v>
      </c>
      <c r="P84" s="164">
        <f t="shared" si="3"/>
        <v>0.11306800260929717</v>
      </c>
      <c r="Q84" s="164">
        <f t="shared" si="7"/>
        <v>5.13850639844049E-2</v>
      </c>
      <c r="R84" s="166">
        <v>2.9806300000000001E-2</v>
      </c>
      <c r="S84" s="168">
        <f t="shared" si="8"/>
        <v>0.26465378134586826</v>
      </c>
      <c r="T84" s="168">
        <f t="shared" si="8"/>
        <v>2.3256509500864331E-2</v>
      </c>
      <c r="U84" s="168">
        <f t="shared" si="8"/>
        <v>0.11675865664753959</v>
      </c>
      <c r="V84" s="168">
        <f t="shared" si="8"/>
        <v>0.15485837359851118</v>
      </c>
      <c r="W84" s="168">
        <f t="shared" si="8"/>
        <v>-3.0592446363737036E-2</v>
      </c>
      <c r="X84" s="168">
        <f t="shared" si="8"/>
        <v>-0.1120441009395412</v>
      </c>
    </row>
    <row r="85" spans="1:24">
      <c r="A85" s="165">
        <v>1992</v>
      </c>
      <c r="B85" s="376">
        <v>7.493727972380064E-2</v>
      </c>
      <c r="C85" s="376">
        <v>3.4313147410358569E-2</v>
      </c>
      <c r="D85" s="376">
        <v>9.3616373162079422E-2</v>
      </c>
      <c r="E85" s="376">
        <v>0.11305244549445928</v>
      </c>
      <c r="F85" s="376">
        <v>8.1747821156863409E-3</v>
      </c>
      <c r="G85" s="376">
        <v>-5.7341073198357684E-2</v>
      </c>
      <c r="H85" s="375">
        <f t="shared" si="10"/>
        <v>40451.507787137925</v>
      </c>
      <c r="I85" s="163">
        <f t="shared" si="10"/>
        <v>1106.5781112123082</v>
      </c>
      <c r="J85" s="163">
        <f t="shared" si="10"/>
        <v>1910.2957512715263</v>
      </c>
      <c r="K85" s="163">
        <f t="shared" si="10"/>
        <v>6251.8168775522199</v>
      </c>
      <c r="L85" s="163">
        <f t="shared" si="10"/>
        <v>1309.7661695793972</v>
      </c>
      <c r="M85" s="163">
        <f t="shared" si="10"/>
        <v>1612.8875968992243</v>
      </c>
      <c r="N85" s="162">
        <f t="shared" ref="N85:N114" si="11">B85-C85</f>
        <v>4.0624132313442071E-2</v>
      </c>
      <c r="O85" s="162">
        <f t="shared" ref="O85:O114" si="12">B85-D85</f>
        <v>-1.8679093438278782E-2</v>
      </c>
      <c r="P85" s="164">
        <f t="shared" ref="P85:P115" si="13">B85-E85</f>
        <v>-3.8115165770658641E-2</v>
      </c>
      <c r="Q85" s="164">
        <f t="shared" si="7"/>
        <v>5.0319857010869606E-2</v>
      </c>
      <c r="R85" s="166">
        <v>2.9667099999999998E-2</v>
      </c>
      <c r="S85" s="168">
        <f t="shared" ref="S85:X115" si="14">(1+B85)/(1+$R85)-1</f>
        <v>4.3965840730271655E-2</v>
      </c>
      <c r="T85" s="168">
        <f t="shared" si="14"/>
        <v>4.5121839965156507E-3</v>
      </c>
      <c r="U85" s="168">
        <f t="shared" si="14"/>
        <v>6.2106746114428013E-2</v>
      </c>
      <c r="V85" s="168">
        <f t="shared" si="14"/>
        <v>8.0982820073069561E-2</v>
      </c>
      <c r="W85" s="168">
        <f t="shared" si="14"/>
        <v>-2.0873074301697714E-2</v>
      </c>
      <c r="X85" s="168">
        <f t="shared" si="14"/>
        <v>-8.4501265698746386E-2</v>
      </c>
    </row>
    <row r="86" spans="1:24">
      <c r="A86" s="165">
        <v>1993</v>
      </c>
      <c r="B86" s="376">
        <v>9.96705147919488E-2</v>
      </c>
      <c r="C86" s="376">
        <v>2.9971199999999996E-2</v>
      </c>
      <c r="D86" s="376">
        <v>0.14210957589263107</v>
      </c>
      <c r="E86" s="376">
        <v>0.15472450683005834</v>
      </c>
      <c r="F86" s="376">
        <v>2.1565986163242234E-2</v>
      </c>
      <c r="G86" s="376">
        <v>0.17677981375788532</v>
      </c>
      <c r="H86" s="375">
        <f t="shared" ref="H86:M101" si="15">H85*(1+B86)</f>
        <v>44483.33039239249</v>
      </c>
      <c r="I86" s="163">
        <f t="shared" si="15"/>
        <v>1139.7435850990746</v>
      </c>
      <c r="J86" s="163">
        <f t="shared" si="15"/>
        <v>2181.7670703142176</v>
      </c>
      <c r="K86" s="163">
        <f t="shared" si="15"/>
        <v>7219.1261607233218</v>
      </c>
      <c r="L86" s="163">
        <f t="shared" si="15"/>
        <v>1338.0125686696292</v>
      </c>
      <c r="M86" s="163">
        <f t="shared" si="15"/>
        <v>1898.0135658914724</v>
      </c>
      <c r="N86" s="162">
        <f t="shared" si="11"/>
        <v>6.9699314791948797E-2</v>
      </c>
      <c r="O86" s="162">
        <f t="shared" si="12"/>
        <v>-4.2439061100682268E-2</v>
      </c>
      <c r="P86" s="164">
        <f t="shared" si="13"/>
        <v>-5.5053992038109539E-2</v>
      </c>
      <c r="Q86" s="164">
        <f t="shared" si="7"/>
        <v>4.8975937931758473E-2</v>
      </c>
      <c r="R86" s="166">
        <v>2.8109600000000002E-2</v>
      </c>
      <c r="S86" s="168">
        <f t="shared" si="14"/>
        <v>6.9604363962702642E-2</v>
      </c>
      <c r="T86" s="168">
        <f t="shared" si="14"/>
        <v>1.8107018940394237E-3</v>
      </c>
      <c r="U86" s="168">
        <f t="shared" si="14"/>
        <v>0.11088309640589955</v>
      </c>
      <c r="V86" s="168">
        <f t="shared" si="14"/>
        <v>0.12315312183648341</v>
      </c>
      <c r="W86" s="168">
        <f t="shared" si="14"/>
        <v>-6.3647045380743617E-3</v>
      </c>
      <c r="X86" s="168">
        <f t="shared" si="14"/>
        <v>0.14460541342857347</v>
      </c>
    </row>
    <row r="87" spans="1:24">
      <c r="A87" s="165">
        <v>1994</v>
      </c>
      <c r="B87" s="376">
        <v>1.3259206774573897E-2</v>
      </c>
      <c r="C87" s="376">
        <v>4.2522489959839357E-2</v>
      </c>
      <c r="D87" s="376">
        <v>-8.0366555509985921E-2</v>
      </c>
      <c r="E87" s="376">
        <v>-9.6826953788543557E-3</v>
      </c>
      <c r="F87" s="376">
        <v>2.5156185989348767E-2</v>
      </c>
      <c r="G87" s="376">
        <v>-2.1697511167836581E-2</v>
      </c>
      <c r="H87" s="375">
        <f t="shared" si="15"/>
        <v>45073.144068086905</v>
      </c>
      <c r="I87" s="163">
        <f t="shared" si="15"/>
        <v>1188.2083202532413</v>
      </c>
      <c r="J87" s="163">
        <f t="shared" si="15"/>
        <v>2006.4259659479505</v>
      </c>
      <c r="K87" s="163">
        <f t="shared" si="15"/>
        <v>7149.2255612075196</v>
      </c>
      <c r="L87" s="163">
        <f t="shared" si="15"/>
        <v>1371.6718617031686</v>
      </c>
      <c r="M87" s="163">
        <f t="shared" si="15"/>
        <v>1856.8313953488368</v>
      </c>
      <c r="N87" s="162">
        <f t="shared" si="11"/>
        <v>-2.926328318526546E-2</v>
      </c>
      <c r="O87" s="162">
        <f t="shared" si="12"/>
        <v>9.3625762284559821E-2</v>
      </c>
      <c r="P87" s="164">
        <f t="shared" si="13"/>
        <v>2.2941902153428253E-2</v>
      </c>
      <c r="Q87" s="164">
        <f t="shared" si="7"/>
        <v>4.9718636171719899E-2</v>
      </c>
      <c r="R87" s="166">
        <v>2.5974000000000001E-2</v>
      </c>
      <c r="S87" s="168">
        <f t="shared" si="14"/>
        <v>-1.2392900039792543E-2</v>
      </c>
      <c r="T87" s="168">
        <f t="shared" si="14"/>
        <v>1.6129541255274882E-2</v>
      </c>
      <c r="U87" s="168">
        <f t="shared" si="14"/>
        <v>-0.10364839217171773</v>
      </c>
      <c r="V87" s="168">
        <f t="shared" si="14"/>
        <v>-3.4753995109870539E-2</v>
      </c>
      <c r="W87" s="168">
        <f t="shared" si="14"/>
        <v>-7.9710987866277172E-4</v>
      </c>
      <c r="X87" s="168">
        <f t="shared" si="14"/>
        <v>-4.6464638643704981E-2</v>
      </c>
    </row>
    <row r="88" spans="1:24">
      <c r="A88" s="165">
        <v>1995</v>
      </c>
      <c r="B88" s="376">
        <v>0.37195198902606308</v>
      </c>
      <c r="C88" s="376">
        <v>5.4896E-2</v>
      </c>
      <c r="D88" s="376">
        <v>0.23480780112538907</v>
      </c>
      <c r="E88" s="376">
        <v>0.21287256523842943</v>
      </c>
      <c r="F88" s="376">
        <v>1.7920251757683303E-2</v>
      </c>
      <c r="G88" s="376">
        <v>9.7847358121330164E-3</v>
      </c>
      <c r="H88" s="375">
        <f t="shared" si="15"/>
        <v>61838.189655870119</v>
      </c>
      <c r="I88" s="163">
        <f t="shared" si="15"/>
        <v>1253.4362042018633</v>
      </c>
      <c r="J88" s="163">
        <f t="shared" si="15"/>
        <v>2477.5504351330737</v>
      </c>
      <c r="K88" s="163">
        <f t="shared" si="15"/>
        <v>8671.0995458899142</v>
      </c>
      <c r="L88" s="163">
        <f t="shared" si="15"/>
        <v>1396.2525667938196</v>
      </c>
      <c r="M88" s="163">
        <f t="shared" si="15"/>
        <v>1874.9999999999995</v>
      </c>
      <c r="N88" s="162">
        <f t="shared" si="11"/>
        <v>0.31705598902606308</v>
      </c>
      <c r="O88" s="162">
        <f t="shared" si="12"/>
        <v>0.13714418790067401</v>
      </c>
      <c r="P88" s="164">
        <f t="shared" si="13"/>
        <v>0.15907942378763365</v>
      </c>
      <c r="Q88" s="164">
        <f t="shared" si="7"/>
        <v>5.0791451119413633E-2</v>
      </c>
      <c r="R88" s="166">
        <v>2.5316499999999999E-2</v>
      </c>
      <c r="S88" s="168">
        <f t="shared" si="14"/>
        <v>0.33807657345420949</v>
      </c>
      <c r="T88" s="168">
        <f t="shared" si="14"/>
        <v>2.8849140728741007E-2</v>
      </c>
      <c r="U88" s="168">
        <f t="shared" si="14"/>
        <v>0.20431866757765937</v>
      </c>
      <c r="V88" s="168">
        <f t="shared" si="14"/>
        <v>0.1829250433777565</v>
      </c>
      <c r="W88" s="168">
        <f t="shared" si="14"/>
        <v>-7.2136245172262914E-3</v>
      </c>
      <c r="X88" s="168">
        <f t="shared" si="14"/>
        <v>-1.514826318299467E-2</v>
      </c>
    </row>
    <row r="89" spans="1:24">
      <c r="A89" s="165">
        <v>1996</v>
      </c>
      <c r="B89" s="376">
        <v>0.22680966018865789</v>
      </c>
      <c r="C89" s="376">
        <v>5.005396825396826E-2</v>
      </c>
      <c r="D89" s="376">
        <v>1.428607793401844E-2</v>
      </c>
      <c r="E89" s="376">
        <v>3.4156893562299034E-2</v>
      </c>
      <c r="F89" s="376">
        <v>2.4254097556188015E-2</v>
      </c>
      <c r="G89" s="376">
        <v>-4.5865633074935408E-2</v>
      </c>
      <c r="H89" s="375">
        <f t="shared" si="15"/>
        <v>75863.688438399797</v>
      </c>
      <c r="I89" s="163">
        <f t="shared" si="15"/>
        <v>1316.175660175358</v>
      </c>
      <c r="J89" s="163">
        <f t="shared" si="15"/>
        <v>2512.9449137348461</v>
      </c>
      <c r="K89" s="163">
        <f t="shared" si="15"/>
        <v>8967.277370146976</v>
      </c>
      <c r="L89" s="163">
        <f t="shared" si="15"/>
        <v>1430.1174127619149</v>
      </c>
      <c r="M89" s="163">
        <f t="shared" si="15"/>
        <v>1789.0019379844957</v>
      </c>
      <c r="N89" s="162">
        <f t="shared" si="11"/>
        <v>0.17675569193468962</v>
      </c>
      <c r="O89" s="162">
        <f t="shared" si="12"/>
        <v>0.21252358225463946</v>
      </c>
      <c r="P89" s="164">
        <f t="shared" si="13"/>
        <v>0.19265276662635886</v>
      </c>
      <c r="Q89" s="164">
        <f t="shared" si="7"/>
        <v>5.304503967737495E-2</v>
      </c>
      <c r="R89" s="166">
        <v>3.3788200000000004E-2</v>
      </c>
      <c r="S89" s="168">
        <f t="shared" si="14"/>
        <v>0.18671277171538403</v>
      </c>
      <c r="T89" s="168">
        <f t="shared" si="14"/>
        <v>1.5734139985316364E-2</v>
      </c>
      <c r="U89" s="168">
        <f t="shared" si="14"/>
        <v>-1.8864717227360162E-2</v>
      </c>
      <c r="V89" s="168">
        <f t="shared" si="14"/>
        <v>3.5664322953099514E-4</v>
      </c>
      <c r="W89" s="168">
        <f t="shared" si="14"/>
        <v>-9.2224910710065888E-3</v>
      </c>
      <c r="X89" s="168">
        <f t="shared" si="14"/>
        <v>-7.7050437483166756E-2</v>
      </c>
    </row>
    <row r="90" spans="1:24">
      <c r="A90" s="165">
        <v>1997</v>
      </c>
      <c r="B90" s="376">
        <v>0.33103653103653097</v>
      </c>
      <c r="C90" s="376">
        <v>5.0620800000000001E-2</v>
      </c>
      <c r="D90" s="376">
        <v>9.939130272977531E-2</v>
      </c>
      <c r="E90" s="376">
        <v>0.12754162725001839</v>
      </c>
      <c r="F90" s="376">
        <v>4.0220867419660244E-2</v>
      </c>
      <c r="G90" s="376">
        <v>-0.21408259986459044</v>
      </c>
      <c r="H90" s="375">
        <f t="shared" si="15"/>
        <v>100977.34069068384</v>
      </c>
      <c r="I90" s="163">
        <f t="shared" si="15"/>
        <v>1382.8015250339627</v>
      </c>
      <c r="J90" s="163">
        <f t="shared" si="15"/>
        <v>2762.7097823991153</v>
      </c>
      <c r="K90" s="163">
        <f t="shared" si="15"/>
        <v>10110.978517937787</v>
      </c>
      <c r="L90" s="163">
        <f t="shared" si="15"/>
        <v>1487.6379756151593</v>
      </c>
      <c r="M90" s="163">
        <f t="shared" si="15"/>
        <v>1406.007751937984</v>
      </c>
      <c r="N90" s="162">
        <f t="shared" si="11"/>
        <v>0.28041573103653095</v>
      </c>
      <c r="O90" s="162">
        <f t="shared" si="12"/>
        <v>0.23164522830675566</v>
      </c>
      <c r="P90" s="164">
        <f t="shared" si="13"/>
        <v>0.20349490378651258</v>
      </c>
      <c r="Q90" s="164">
        <f t="shared" si="7"/>
        <v>5.5315584903303572E-2</v>
      </c>
      <c r="R90" s="166">
        <v>1.6970499999999999E-2</v>
      </c>
      <c r="S90" s="168">
        <f t="shared" si="14"/>
        <v>0.30882511443206151</v>
      </c>
      <c r="T90" s="168">
        <f t="shared" si="14"/>
        <v>3.3088767078297554E-2</v>
      </c>
      <c r="U90" s="168">
        <f t="shared" si="14"/>
        <v>8.104542140580806E-2</v>
      </c>
      <c r="V90" s="168">
        <f t="shared" si="14"/>
        <v>0.10872599278938622</v>
      </c>
      <c r="W90" s="168">
        <f t="shared" si="14"/>
        <v>2.2862381376510088E-2</v>
      </c>
      <c r="X90" s="168">
        <f t="shared" si="14"/>
        <v>-0.2271974456138014</v>
      </c>
    </row>
    <row r="91" spans="1:24">
      <c r="A91" s="165">
        <v>1998</v>
      </c>
      <c r="B91" s="376">
        <v>0.28337953278443584</v>
      </c>
      <c r="C91" s="376">
        <v>4.7759600000000006E-2</v>
      </c>
      <c r="D91" s="376">
        <v>0.14921431922606215</v>
      </c>
      <c r="E91" s="376">
        <v>7.6274756292817242E-2</v>
      </c>
      <c r="F91" s="376">
        <v>6.4423641576565771E-2</v>
      </c>
      <c r="G91" s="376">
        <v>-8.2701585113713616E-3</v>
      </c>
      <c r="H91" s="375">
        <f t="shared" si="15"/>
        <v>129592.25231742462</v>
      </c>
      <c r="I91" s="163">
        <f t="shared" si="15"/>
        <v>1448.8435727489748</v>
      </c>
      <c r="J91" s="163">
        <f t="shared" si="15"/>
        <v>3174.9456417989818</v>
      </c>
      <c r="K91" s="163">
        <f t="shared" si="15"/>
        <v>10882.190940275401</v>
      </c>
      <c r="L91" s="163">
        <f t="shared" si="15"/>
        <v>1583.4770313518782</v>
      </c>
      <c r="M91" s="163">
        <f t="shared" si="15"/>
        <v>1394.37984496124</v>
      </c>
      <c r="N91" s="162">
        <f t="shared" si="11"/>
        <v>0.23561993278443583</v>
      </c>
      <c r="O91" s="162">
        <f t="shared" si="12"/>
        <v>0.13416521355837369</v>
      </c>
      <c r="P91" s="164">
        <f t="shared" si="13"/>
        <v>0.2071047764916186</v>
      </c>
      <c r="Q91" s="164">
        <f t="shared" si="7"/>
        <v>5.6306048135548625E-2</v>
      </c>
      <c r="R91" s="166">
        <v>1.6069199999999999E-2</v>
      </c>
      <c r="S91" s="168">
        <f t="shared" si="14"/>
        <v>0.2630828026126919</v>
      </c>
      <c r="T91" s="168">
        <f t="shared" si="14"/>
        <v>3.1189214277925092E-2</v>
      </c>
      <c r="U91" s="168">
        <f t="shared" si="14"/>
        <v>0.13103942056905393</v>
      </c>
      <c r="V91" s="168">
        <f t="shared" si="14"/>
        <v>5.9253401532904704E-2</v>
      </c>
      <c r="W91" s="168">
        <f t="shared" si="14"/>
        <v>4.7589712961052077E-2</v>
      </c>
      <c r="X91" s="168">
        <f t="shared" si="14"/>
        <v>-2.3954429985055481E-2</v>
      </c>
    </row>
    <row r="92" spans="1:24">
      <c r="A92" s="165">
        <v>1999</v>
      </c>
      <c r="B92" s="376">
        <v>0.20885350992084475</v>
      </c>
      <c r="C92" s="376">
        <v>4.6384063745019917E-2</v>
      </c>
      <c r="D92" s="376">
        <v>-8.2542147962685761E-2</v>
      </c>
      <c r="E92" s="376">
        <v>9.0685450376237486E-3</v>
      </c>
      <c r="F92" s="376">
        <v>7.6804915514592897E-2</v>
      </c>
      <c r="G92" s="376">
        <v>8.5128561501042199E-3</v>
      </c>
      <c r="H92" s="375">
        <f t="shared" si="15"/>
        <v>156658.0490724665</v>
      </c>
      <c r="I92" s="163">
        <f t="shared" si="15"/>
        <v>1516.0468253839256</v>
      </c>
      <c r="J92" s="163">
        <f t="shared" si="15"/>
        <v>2912.8788088601259</v>
      </c>
      <c r="K92" s="163">
        <f t="shared" si="15"/>
        <v>10980.87657892531</v>
      </c>
      <c r="L92" s="163">
        <f t="shared" si="15"/>
        <v>1705.0958509641575</v>
      </c>
      <c r="M92" s="163">
        <f t="shared" si="15"/>
        <v>1406.2499999999995</v>
      </c>
      <c r="N92" s="162">
        <f t="shared" si="11"/>
        <v>0.16246944617582484</v>
      </c>
      <c r="O92" s="162">
        <f t="shared" si="12"/>
        <v>0.2913956578835305</v>
      </c>
      <c r="P92" s="164">
        <f t="shared" si="13"/>
        <v>0.19978496488322101</v>
      </c>
      <c r="Q92" s="164">
        <f t="shared" si="7"/>
        <v>5.9634694818320177E-2</v>
      </c>
      <c r="R92" s="166">
        <v>2.6764E-2</v>
      </c>
      <c r="S92" s="168">
        <f t="shared" si="14"/>
        <v>0.17734309921349478</v>
      </c>
      <c r="T92" s="168">
        <f t="shared" si="14"/>
        <v>1.9108640101347385E-2</v>
      </c>
      <c r="U92" s="168">
        <f t="shared" si="14"/>
        <v>-0.10645693456596239</v>
      </c>
      <c r="V92" s="168">
        <f t="shared" si="14"/>
        <v>-1.7234198863980699E-2</v>
      </c>
      <c r="W92" s="168">
        <f t="shared" si="14"/>
        <v>4.8736530998937377E-2</v>
      </c>
      <c r="X92" s="168">
        <f t="shared" si="14"/>
        <v>-1.7775402964942066E-2</v>
      </c>
    </row>
    <row r="93" spans="1:24">
      <c r="A93" s="165">
        <v>2000</v>
      </c>
      <c r="B93" s="376">
        <v>-9.0318189552492781E-2</v>
      </c>
      <c r="C93" s="376">
        <v>5.8198007968127491E-2</v>
      </c>
      <c r="D93" s="376">
        <v>0.16655267125397488</v>
      </c>
      <c r="E93" s="376">
        <v>9.3878146518094577E-2</v>
      </c>
      <c r="F93" s="376">
        <v>9.2915553233810844E-2</v>
      </c>
      <c r="G93" s="376">
        <v>-5.4435831180017269E-2</v>
      </c>
      <c r="H93" s="375">
        <f t="shared" si="15"/>
        <v>142508.97770141574</v>
      </c>
      <c r="I93" s="163">
        <f t="shared" si="15"/>
        <v>1604.2777306076737</v>
      </c>
      <c r="J93" s="163">
        <f t="shared" si="15"/>
        <v>3398.0265555148762</v>
      </c>
      <c r="K93" s="163">
        <f t="shared" si="15"/>
        <v>12011.740919298774</v>
      </c>
      <c r="L93" s="163">
        <f t="shared" si="15"/>
        <v>1863.5257752731677</v>
      </c>
      <c r="M93" s="163">
        <f t="shared" si="15"/>
        <v>1329.6996124031002</v>
      </c>
      <c r="N93" s="162">
        <f t="shared" si="11"/>
        <v>-0.14851619752062029</v>
      </c>
      <c r="O93" s="162">
        <f t="shared" si="12"/>
        <v>-0.25687086080646765</v>
      </c>
      <c r="P93" s="164">
        <f t="shared" si="13"/>
        <v>-0.18419633607058736</v>
      </c>
      <c r="Q93" s="164">
        <f t="shared" si="7"/>
        <v>5.5111895842923087E-2</v>
      </c>
      <c r="R93" s="166">
        <v>3.43602E-2</v>
      </c>
      <c r="S93" s="168">
        <f t="shared" si="14"/>
        <v>-0.12053672362151302</v>
      </c>
      <c r="T93" s="168">
        <f t="shared" si="14"/>
        <v>2.3045944699078058E-2</v>
      </c>
      <c r="U93" s="168">
        <f t="shared" si="14"/>
        <v>0.1278011965792718</v>
      </c>
      <c r="V93" s="168">
        <f t="shared" si="14"/>
        <v>5.7540832021663935E-2</v>
      </c>
      <c r="W93" s="168">
        <f t="shared" si="14"/>
        <v>5.661021492688012E-2</v>
      </c>
      <c r="X93" s="168">
        <f t="shared" si="14"/>
        <v>-8.5846333975357236E-2</v>
      </c>
    </row>
    <row r="94" spans="1:24">
      <c r="A94" s="165">
        <v>2001</v>
      </c>
      <c r="B94" s="376">
        <v>-0.11849759142000185</v>
      </c>
      <c r="C94" s="376">
        <v>3.3993548387096777E-2</v>
      </c>
      <c r="D94" s="376">
        <v>5.5721811892492555E-2</v>
      </c>
      <c r="E94" s="376">
        <v>8.5387489183019236E-2</v>
      </c>
      <c r="F94" s="376">
        <v>6.6779421091818225E-2</v>
      </c>
      <c r="G94" s="376">
        <v>7.4694844233922364E-3</v>
      </c>
      <c r="H94" s="375">
        <f t="shared" si="15"/>
        <v>125622.00708807123</v>
      </c>
      <c r="I94" s="163">
        <f t="shared" si="15"/>
        <v>1658.8128232694276</v>
      </c>
      <c r="J94" s="163">
        <f t="shared" si="15"/>
        <v>3587.3707520469702</v>
      </c>
      <c r="K94" s="163">
        <f t="shared" si="15"/>
        <v>13037.393317114629</v>
      </c>
      <c r="L94" s="163">
        <f t="shared" si="15"/>
        <v>1987.9709477355916</v>
      </c>
      <c r="M94" s="163">
        <f t="shared" si="15"/>
        <v>1339.6317829457359</v>
      </c>
      <c r="N94" s="162">
        <f t="shared" si="11"/>
        <v>-0.15249113980709864</v>
      </c>
      <c r="O94" s="162">
        <f t="shared" si="12"/>
        <v>-0.17421940331249441</v>
      </c>
      <c r="P94" s="164">
        <f t="shared" si="13"/>
        <v>-0.20388508060302107</v>
      </c>
      <c r="Q94" s="164">
        <f t="shared" si="7"/>
        <v>5.1665345512908356E-2</v>
      </c>
      <c r="R94" s="166">
        <v>1.6036700000000001E-2</v>
      </c>
      <c r="S94" s="168">
        <f t="shared" si="14"/>
        <v>-0.13241085821014309</v>
      </c>
      <c r="T94" s="168">
        <f t="shared" si="14"/>
        <v>1.7673424972834972E-2</v>
      </c>
      <c r="U94" s="168">
        <f t="shared" si="14"/>
        <v>3.9058738618883204E-2</v>
      </c>
      <c r="V94" s="168">
        <f t="shared" si="14"/>
        <v>6.8256185217541177E-2</v>
      </c>
      <c r="W94" s="168">
        <f t="shared" si="14"/>
        <v>4.9941819121118725E-2</v>
      </c>
      <c r="X94" s="168">
        <f t="shared" si="14"/>
        <v>-8.4319942149803095E-3</v>
      </c>
    </row>
    <row r="95" spans="1:24">
      <c r="A95" s="165">
        <v>2002</v>
      </c>
      <c r="B95" s="376">
        <v>-0.21966047957912699</v>
      </c>
      <c r="C95" s="376">
        <v>1.60532E-2</v>
      </c>
      <c r="D95" s="376">
        <v>0.15116400378109285</v>
      </c>
      <c r="E95" s="376">
        <v>0.12143658327667134</v>
      </c>
      <c r="F95" s="376">
        <v>9.5600399806989866E-2</v>
      </c>
      <c r="G95" s="376">
        <v>0.2556962025316456</v>
      </c>
      <c r="H95" s="375">
        <f t="shared" si="15"/>
        <v>98027.816765413008</v>
      </c>
      <c r="I95" s="163">
        <f t="shared" si="15"/>
        <v>1685.4420772839362</v>
      </c>
      <c r="J95" s="163">
        <f t="shared" si="15"/>
        <v>4129.6520779735802</v>
      </c>
      <c r="K95" s="163">
        <f t="shared" si="15"/>
        <v>14620.609816379138</v>
      </c>
      <c r="L95" s="163">
        <f t="shared" si="15"/>
        <v>2178.0217651437947</v>
      </c>
      <c r="M95" s="163">
        <f t="shared" si="15"/>
        <v>1682.1705426356584</v>
      </c>
      <c r="N95" s="162">
        <f t="shared" si="11"/>
        <v>-0.23571367957912698</v>
      </c>
      <c r="O95" s="162">
        <f t="shared" si="12"/>
        <v>-0.37082448336021984</v>
      </c>
      <c r="P95" s="164">
        <f t="shared" si="13"/>
        <v>-0.34109706285579833</v>
      </c>
      <c r="Q95" s="164">
        <f t="shared" si="7"/>
        <v>4.5325449773477855E-2</v>
      </c>
      <c r="R95" s="166">
        <v>2.48027E-2</v>
      </c>
      <c r="S95" s="168">
        <f t="shared" si="14"/>
        <v>-0.23854658031163167</v>
      </c>
      <c r="T95" s="168">
        <f t="shared" si="14"/>
        <v>-8.5377409719938901E-3</v>
      </c>
      <c r="U95" s="168">
        <f t="shared" si="14"/>
        <v>0.12330305509645223</v>
      </c>
      <c r="V95" s="168">
        <f t="shared" si="14"/>
        <v>9.4295109953039136E-2</v>
      </c>
      <c r="W95" s="168">
        <f t="shared" si="14"/>
        <v>6.9084224511693826E-2</v>
      </c>
      <c r="X95" s="168">
        <f t="shared" si="14"/>
        <v>0.22530532221631105</v>
      </c>
    </row>
    <row r="96" spans="1:24">
      <c r="A96" s="165">
        <v>2003</v>
      </c>
      <c r="B96" s="376">
        <v>0.28355800050010233</v>
      </c>
      <c r="C96" s="376">
        <v>1.00836E-2</v>
      </c>
      <c r="D96" s="376">
        <v>3.7531858817758529E-3</v>
      </c>
      <c r="E96" s="376">
        <v>0.12316378506833342</v>
      </c>
      <c r="F96" s="376">
        <v>9.8119558635008763E-2</v>
      </c>
      <c r="G96" s="376">
        <v>0.1988767281105992</v>
      </c>
      <c r="H96" s="375">
        <f t="shared" si="15"/>
        <v>125824.38848080393</v>
      </c>
      <c r="I96" s="163">
        <f t="shared" si="15"/>
        <v>1702.4374010144365</v>
      </c>
      <c r="J96" s="163">
        <f t="shared" si="15"/>
        <v>4145.1514298492766</v>
      </c>
      <c r="K96" s="163">
        <f t="shared" si="15"/>
        <v>16421.339461371623</v>
      </c>
      <c r="L96" s="163">
        <f t="shared" si="15"/>
        <v>2391.7282994371467</v>
      </c>
      <c r="M96" s="163">
        <f t="shared" si="15"/>
        <v>2016.7151162790694</v>
      </c>
      <c r="N96" s="162">
        <f t="shared" si="11"/>
        <v>0.2734744005001023</v>
      </c>
      <c r="O96" s="162">
        <f t="shared" si="12"/>
        <v>0.27980481461832646</v>
      </c>
      <c r="P96" s="164">
        <f t="shared" si="13"/>
        <v>0.16039421543176891</v>
      </c>
      <c r="Q96" s="164">
        <f t="shared" si="7"/>
        <v>4.8237796117156506E-2</v>
      </c>
      <c r="R96" s="166">
        <v>2.0352000000000002E-2</v>
      </c>
      <c r="S96" s="168">
        <f t="shared" si="14"/>
        <v>0.25795607839265511</v>
      </c>
      <c r="T96" s="168">
        <f t="shared" si="14"/>
        <v>-1.0063585899767857E-2</v>
      </c>
      <c r="U96" s="168">
        <f t="shared" si="14"/>
        <v>-1.6267733211895563E-2</v>
      </c>
      <c r="V96" s="168">
        <f t="shared" si="14"/>
        <v>0.10076109525764987</v>
      </c>
      <c r="W96" s="168">
        <f t="shared" si="14"/>
        <v>7.6216402413097573E-2</v>
      </c>
      <c r="X96" s="168">
        <f t="shared" si="14"/>
        <v>0.17496386355943772</v>
      </c>
    </row>
    <row r="97" spans="1:24">
      <c r="A97" s="165">
        <v>2004</v>
      </c>
      <c r="B97" s="376">
        <v>0.10742775944096193</v>
      </c>
      <c r="C97" s="376">
        <v>1.3746400000000001E-2</v>
      </c>
      <c r="D97" s="376">
        <v>4.490683702274547E-2</v>
      </c>
      <c r="E97" s="376">
        <v>0.10345924468934715</v>
      </c>
      <c r="F97" s="376">
        <v>0.13638479663675351</v>
      </c>
      <c r="G97" s="376">
        <v>4.6486486486486456E-2</v>
      </c>
      <c r="H97" s="375">
        <f t="shared" si="15"/>
        <v>139341.42061832585</v>
      </c>
      <c r="I97" s="163">
        <f t="shared" si="15"/>
        <v>1725.8397865037414</v>
      </c>
      <c r="J97" s="163">
        <f t="shared" si="15"/>
        <v>4331.2970695441181</v>
      </c>
      <c r="K97" s="163">
        <f t="shared" si="15"/>
        <v>18120.278838832503</v>
      </c>
      <c r="L97" s="163">
        <f t="shared" si="15"/>
        <v>2717.9236771662504</v>
      </c>
      <c r="M97" s="163">
        <f t="shared" si="15"/>
        <v>2110.4651162790692</v>
      </c>
      <c r="N97" s="162">
        <f t="shared" si="11"/>
        <v>9.3681359440961925E-2</v>
      </c>
      <c r="O97" s="162">
        <f t="shared" si="12"/>
        <v>6.2520922418216468E-2</v>
      </c>
      <c r="P97" s="164">
        <f t="shared" si="13"/>
        <v>3.9685147516147767E-3</v>
      </c>
      <c r="Q97" s="164">
        <f t="shared" si="7"/>
        <v>4.842299846885445E-2</v>
      </c>
      <c r="R97" s="166">
        <v>3.34232E-2</v>
      </c>
      <c r="S97" s="168">
        <f t="shared" si="14"/>
        <v>7.1611087733429724E-2</v>
      </c>
      <c r="T97" s="168">
        <f t="shared" si="14"/>
        <v>-1.9040408614786286E-2</v>
      </c>
      <c r="U97" s="168">
        <f t="shared" si="14"/>
        <v>1.1112230713172799E-2</v>
      </c>
      <c r="V97" s="168">
        <f t="shared" si="14"/>
        <v>6.7770923557112894E-2</v>
      </c>
      <c r="W97" s="168">
        <f t="shared" si="14"/>
        <v>9.9631590075347054E-2</v>
      </c>
      <c r="X97" s="168">
        <f t="shared" si="14"/>
        <v>1.2640790807179725E-2</v>
      </c>
    </row>
    <row r="98" spans="1:24">
      <c r="A98" s="165">
        <v>2005</v>
      </c>
      <c r="B98" s="376">
        <v>4.8344775232688535E-2</v>
      </c>
      <c r="C98" s="376">
        <v>3.1491600000000002E-2</v>
      </c>
      <c r="D98" s="376">
        <v>2.8675329597779506E-2</v>
      </c>
      <c r="E98" s="376">
        <v>5.2983848835185088E-2</v>
      </c>
      <c r="F98" s="376">
        <v>0.13510430453141753</v>
      </c>
      <c r="G98" s="376">
        <v>0.1776859504132231</v>
      </c>
      <c r="H98" s="375">
        <f t="shared" si="15"/>
        <v>146077.8502787223</v>
      </c>
      <c r="I98" s="163">
        <f t="shared" si="15"/>
        <v>1780.1892427244027</v>
      </c>
      <c r="J98" s="163">
        <f t="shared" si="15"/>
        <v>4455.4984405991927</v>
      </c>
      <c r="K98" s="163">
        <f t="shared" si="15"/>
        <v>19080.360953680607</v>
      </c>
      <c r="L98" s="163">
        <f t="shared" si="15"/>
        <v>3085.1268653392694</v>
      </c>
      <c r="M98" s="163">
        <f t="shared" si="15"/>
        <v>2485.4651162790692</v>
      </c>
      <c r="N98" s="162">
        <f t="shared" si="11"/>
        <v>1.6853175232688533E-2</v>
      </c>
      <c r="O98" s="162">
        <f t="shared" si="12"/>
        <v>1.9669445634909029E-2</v>
      </c>
      <c r="P98" s="164">
        <f t="shared" si="13"/>
        <v>-4.6390736024965532E-3</v>
      </c>
      <c r="Q98" s="164">
        <f t="shared" si="7"/>
        <v>4.8042189402255131E-2</v>
      </c>
      <c r="R98" s="166">
        <v>3.3385499999999999E-2</v>
      </c>
      <c r="S98" s="168">
        <f t="shared" si="14"/>
        <v>1.4475987163249604E-2</v>
      </c>
      <c r="T98" s="168">
        <f t="shared" si="14"/>
        <v>-1.8327139291194339E-3</v>
      </c>
      <c r="U98" s="168">
        <f t="shared" si="14"/>
        <v>-4.5579993160543841E-3</v>
      </c>
      <c r="V98" s="168">
        <f t="shared" si="14"/>
        <v>1.8965186598016937E-2</v>
      </c>
      <c r="W98" s="168">
        <f t="shared" si="14"/>
        <v>9.8432583514494354E-2</v>
      </c>
      <c r="X98" s="168">
        <f t="shared" si="14"/>
        <v>0.13963854767966355</v>
      </c>
    </row>
    <row r="99" spans="1:24">
      <c r="A99" s="165">
        <v>2006</v>
      </c>
      <c r="B99" s="376">
        <v>0.15612557979315703</v>
      </c>
      <c r="C99" s="376">
        <v>4.7300000000000002E-2</v>
      </c>
      <c r="D99" s="376">
        <v>1.9610012417568386E-2</v>
      </c>
      <c r="E99" s="376">
        <v>5.1964610076620635E-2</v>
      </c>
      <c r="F99" s="376">
        <v>1.7334140261067166E-2</v>
      </c>
      <c r="G99" s="376">
        <v>0.23196881091617927</v>
      </c>
      <c r="H99" s="375">
        <f t="shared" si="15"/>
        <v>168884.33934842583</v>
      </c>
      <c r="I99" s="163">
        <f t="shared" si="15"/>
        <v>1864.3921939052668</v>
      </c>
      <c r="J99" s="163">
        <f t="shared" si="15"/>
        <v>4542.8708203458</v>
      </c>
      <c r="K99" s="163">
        <f t="shared" si="15"/>
        <v>20071.8644707598</v>
      </c>
      <c r="L99" s="163">
        <f t="shared" si="15"/>
        <v>3138.6048871462467</v>
      </c>
      <c r="M99" s="163">
        <f t="shared" si="15"/>
        <v>3062.0155038759681</v>
      </c>
      <c r="N99" s="162">
        <f t="shared" si="11"/>
        <v>0.10882557979315702</v>
      </c>
      <c r="O99" s="162">
        <f t="shared" si="12"/>
        <v>0.13651556737558865</v>
      </c>
      <c r="P99" s="164">
        <f t="shared" si="13"/>
        <v>0.10416096971653639</v>
      </c>
      <c r="Q99" s="164">
        <f t="shared" si="7"/>
        <v>4.9149036004805913E-2</v>
      </c>
      <c r="R99" s="166">
        <v>2.52398E-2</v>
      </c>
      <c r="S99" s="168">
        <f t="shared" si="14"/>
        <v>0.12766357665119621</v>
      </c>
      <c r="T99" s="168">
        <f t="shared" si="14"/>
        <v>2.1517112386780113E-2</v>
      </c>
      <c r="U99" s="168">
        <f t="shared" si="14"/>
        <v>-5.4911910193415903E-3</v>
      </c>
      <c r="V99" s="168">
        <f t="shared" si="14"/>
        <v>2.6066887060588684E-2</v>
      </c>
      <c r="W99" s="168">
        <f t="shared" si="14"/>
        <v>-7.7110347637039389E-3</v>
      </c>
      <c r="X99" s="168">
        <f t="shared" si="14"/>
        <v>0.20163966607244399</v>
      </c>
    </row>
    <row r="100" spans="1:24">
      <c r="A100" s="165">
        <v>2007</v>
      </c>
      <c r="B100" s="376">
        <v>5.4847352464217694E-2</v>
      </c>
      <c r="C100" s="376">
        <v>4.3619521912350592E-2</v>
      </c>
      <c r="D100" s="376">
        <v>0.10209921930012807</v>
      </c>
      <c r="E100" s="376">
        <v>4.8445754357525184E-2</v>
      </c>
      <c r="F100" s="376">
        <v>-5.3981629545541421E-2</v>
      </c>
      <c r="G100" s="376">
        <v>0.31922468354430378</v>
      </c>
      <c r="H100" s="375">
        <f t="shared" si="15"/>
        <v>178147.19823435548</v>
      </c>
      <c r="I100" s="163">
        <f t="shared" si="15"/>
        <v>1945.7160900605329</v>
      </c>
      <c r="J100" s="163">
        <f t="shared" si="15"/>
        <v>5006.6943844844382</v>
      </c>
      <c r="K100" s="163">
        <f t="shared" si="15"/>
        <v>21044.261086407765</v>
      </c>
      <c r="L100" s="163">
        <f t="shared" si="15"/>
        <v>2969.177880838492</v>
      </c>
      <c r="M100" s="163">
        <f t="shared" si="15"/>
        <v>4039.4864341085258</v>
      </c>
      <c r="N100" s="162">
        <f t="shared" si="11"/>
        <v>1.1227830551867102E-2</v>
      </c>
      <c r="O100" s="162">
        <f t="shared" si="12"/>
        <v>-4.7251866835910372E-2</v>
      </c>
      <c r="P100" s="164">
        <f t="shared" si="13"/>
        <v>6.4015981066925104E-3</v>
      </c>
      <c r="Q100" s="164">
        <f t="shared" si="7"/>
        <v>4.7948712238125024E-2</v>
      </c>
      <c r="R100" s="166">
        <v>4.1088100000000002E-2</v>
      </c>
      <c r="S100" s="168">
        <f t="shared" si="14"/>
        <v>1.3216222973077452E-2</v>
      </c>
      <c r="T100" s="168">
        <f t="shared" si="14"/>
        <v>2.431515557953734E-3</v>
      </c>
      <c r="U100" s="168">
        <f t="shared" si="14"/>
        <v>5.8603224165301615E-2</v>
      </c>
      <c r="V100" s="168">
        <f t="shared" si="14"/>
        <v>7.067273516549788E-3</v>
      </c>
      <c r="W100" s="168">
        <f t="shared" si="14"/>
        <v>-9.1317660383920862E-2</v>
      </c>
      <c r="X100" s="168">
        <f t="shared" si="14"/>
        <v>0.26715950700455005</v>
      </c>
    </row>
    <row r="101" spans="1:24">
      <c r="A101" s="165">
        <v>2008</v>
      </c>
      <c r="B101" s="376">
        <v>-0.36552344111798191</v>
      </c>
      <c r="C101" s="376">
        <v>1.3713147410358567E-2</v>
      </c>
      <c r="D101" s="376">
        <v>0.20101279926977011</v>
      </c>
      <c r="E101" s="376">
        <v>-3.540309867144642E-2</v>
      </c>
      <c r="F101" s="376">
        <v>-0.11995638578961343</v>
      </c>
      <c r="G101" s="376">
        <v>4.3178410794602717E-2</v>
      </c>
      <c r="H101" s="375">
        <f t="shared" si="15"/>
        <v>113030.22131020659</v>
      </c>
      <c r="I101" s="163">
        <f t="shared" si="15"/>
        <v>1972.3979816222397</v>
      </c>
      <c r="J101" s="163">
        <f t="shared" si="15"/>
        <v>6013.1040377978934</v>
      </c>
      <c r="K101" s="163">
        <f t="shared" si="15"/>
        <v>20299.22903469799</v>
      </c>
      <c r="L101" s="163">
        <f t="shared" si="15"/>
        <v>2613.006033486643</v>
      </c>
      <c r="M101" s="163">
        <f t="shared" si="15"/>
        <v>4213.905038759689</v>
      </c>
      <c r="N101" s="162">
        <f t="shared" si="11"/>
        <v>-0.37923658852834047</v>
      </c>
      <c r="O101" s="162">
        <f t="shared" si="12"/>
        <v>-0.56653624038775208</v>
      </c>
      <c r="P101" s="164">
        <f t="shared" si="13"/>
        <v>-0.33012034244653549</v>
      </c>
      <c r="Q101" s="164">
        <f t="shared" si="7"/>
        <v>3.8795868868689798E-2</v>
      </c>
      <c r="R101" s="166">
        <v>-2.2230000000000001E-4</v>
      </c>
      <c r="S101" s="168">
        <f t="shared" si="14"/>
        <v>-0.36538236561785886</v>
      </c>
      <c r="T101" s="168">
        <f t="shared" si="14"/>
        <v>1.3938545949123249E-2</v>
      </c>
      <c r="U101" s="168">
        <f t="shared" si="14"/>
        <v>0.20127984377904218</v>
      </c>
      <c r="V101" s="168">
        <f t="shared" si="14"/>
        <v>-3.5188621101917339E-2</v>
      </c>
      <c r="W101" s="168">
        <f t="shared" si="14"/>
        <v>-0.1197607085951341</v>
      </c>
      <c r="X101" s="168">
        <f t="shared" si="14"/>
        <v>4.3410360917834678E-2</v>
      </c>
    </row>
    <row r="102" spans="1:24">
      <c r="A102" s="165">
        <v>2009</v>
      </c>
      <c r="B102" s="376">
        <v>0.25935233877663982</v>
      </c>
      <c r="C102" s="376">
        <v>1.5051999999999999E-3</v>
      </c>
      <c r="D102" s="376">
        <v>-0.11116695313259162</v>
      </c>
      <c r="E102" s="376">
        <v>0.20209649577883115</v>
      </c>
      <c r="F102" s="376">
        <v>-3.8552558261496617E-2</v>
      </c>
      <c r="G102" s="376">
        <v>0.25035929864903705</v>
      </c>
      <c r="H102" s="375">
        <f t="shared" ref="H102:M116" si="16">H101*(1+B102)</f>
        <v>142344.87355944986</v>
      </c>
      <c r="I102" s="163">
        <f t="shared" si="16"/>
        <v>1975.3668350641774</v>
      </c>
      <c r="J102" s="163">
        <f t="shared" si="16"/>
        <v>5344.6455830466175</v>
      </c>
      <c r="K102" s="163">
        <f t="shared" si="16"/>
        <v>24401.632089622359</v>
      </c>
      <c r="L102" s="163">
        <f t="shared" si="16"/>
        <v>2512.267966143007</v>
      </c>
      <c r="M102" s="163">
        <f t="shared" si="16"/>
        <v>5268.8953488372081</v>
      </c>
      <c r="N102" s="162">
        <f t="shared" si="11"/>
        <v>0.25784713877663984</v>
      </c>
      <c r="O102" s="162">
        <f t="shared" si="12"/>
        <v>0.37051929190923144</v>
      </c>
      <c r="P102" s="164">
        <f t="shared" si="13"/>
        <v>5.725584299780867E-2</v>
      </c>
      <c r="Q102" s="164">
        <f t="shared" si="7"/>
        <v>4.2868506133348472E-2</v>
      </c>
      <c r="R102" s="166">
        <v>2.8141199999999998E-2</v>
      </c>
      <c r="S102" s="168">
        <f t="shared" si="14"/>
        <v>0.2248826705676612</v>
      </c>
      <c r="T102" s="168">
        <f t="shared" si="14"/>
        <v>-2.5906947411503456E-2</v>
      </c>
      <c r="U102" s="168">
        <f t="shared" si="14"/>
        <v>-0.13549515682533853</v>
      </c>
      <c r="V102" s="168">
        <f t="shared" si="14"/>
        <v>0.16919397430900651</v>
      </c>
      <c r="W102" s="168">
        <f t="shared" si="14"/>
        <v>-6.4868286828206778E-2</v>
      </c>
      <c r="X102" s="168">
        <f t="shared" si="14"/>
        <v>0.21613577847968446</v>
      </c>
    </row>
    <row r="103" spans="1:24">
      <c r="A103" s="165">
        <v>2010</v>
      </c>
      <c r="B103" s="376">
        <v>0.14821092278719414</v>
      </c>
      <c r="C103" s="376">
        <v>1.3844621513944221E-3</v>
      </c>
      <c r="D103" s="376">
        <v>8.4629338803557719E-2</v>
      </c>
      <c r="E103" s="376">
        <v>9.4104971085132647E-2</v>
      </c>
      <c r="F103" s="376">
        <v>-4.1128020509463736E-2</v>
      </c>
      <c r="G103" s="376">
        <v>0.29241379310344828</v>
      </c>
      <c r="H103" s="375">
        <f t="shared" si="16"/>
        <v>163441.93862372241</v>
      </c>
      <c r="I103" s="163">
        <f t="shared" si="16"/>
        <v>1978.1016556824434</v>
      </c>
      <c r="J103" s="163">
        <f t="shared" si="16"/>
        <v>5796.9594048792078</v>
      </c>
      <c r="K103" s="163">
        <f t="shared" si="16"/>
        <v>26697.946971846319</v>
      </c>
      <c r="L103" s="163">
        <f t="shared" si="16"/>
        <v>2408.9433577062086</v>
      </c>
      <c r="M103" s="163">
        <f t="shared" si="16"/>
        <v>6809.5930232558121</v>
      </c>
      <c r="N103" s="162">
        <f t="shared" si="11"/>
        <v>0.14682646063579971</v>
      </c>
      <c r="O103" s="162">
        <f t="shared" si="12"/>
        <v>6.3581583983636419E-2</v>
      </c>
      <c r="P103" s="164">
        <f t="shared" si="13"/>
        <v>5.4105951702061492E-2</v>
      </c>
      <c r="Q103" s="164">
        <f t="shared" si="7"/>
        <v>4.3108516433475463E-2</v>
      </c>
      <c r="R103" s="166">
        <v>1.4377899999999999E-2</v>
      </c>
      <c r="S103" s="168">
        <f t="shared" si="14"/>
        <v>0.1319360593198986</v>
      </c>
      <c r="T103" s="168">
        <f t="shared" si="14"/>
        <v>-1.2809267481680764E-2</v>
      </c>
      <c r="U103" s="168">
        <f t="shared" si="14"/>
        <v>6.9255687454899961E-2</v>
      </c>
      <c r="V103" s="168">
        <f t="shared" si="14"/>
        <v>7.8597011118965332E-2</v>
      </c>
      <c r="W103" s="168">
        <f t="shared" si="14"/>
        <v>-5.4719173701895163E-2</v>
      </c>
      <c r="X103" s="168">
        <f t="shared" si="14"/>
        <v>0.27409498284953604</v>
      </c>
    </row>
    <row r="104" spans="1:24">
      <c r="A104" s="165">
        <v>2011</v>
      </c>
      <c r="B104" s="376">
        <v>2.09837473362805E-2</v>
      </c>
      <c r="C104" s="376">
        <v>5.2839999999999994E-4</v>
      </c>
      <c r="D104" s="376">
        <v>0.16035334999461354</v>
      </c>
      <c r="E104" s="376">
        <v>0.12262911319384322</v>
      </c>
      <c r="F104" s="376">
        <v>-3.8853177086296098E-2</v>
      </c>
      <c r="G104" s="376">
        <v>0.1202419067947349</v>
      </c>
      <c r="H104" s="375">
        <f t="shared" si="16"/>
        <v>166871.56296795449</v>
      </c>
      <c r="I104" s="163">
        <f t="shared" si="16"/>
        <v>1979.1468845973061</v>
      </c>
      <c r="J104" s="163">
        <f t="shared" si="16"/>
        <v>6726.5212652343698</v>
      </c>
      <c r="K104" s="163">
        <f t="shared" si="16"/>
        <v>29971.892533100086</v>
      </c>
      <c r="L104" s="163">
        <f t="shared" si="16"/>
        <v>2315.3482548383927</v>
      </c>
      <c r="M104" s="163">
        <f t="shared" si="16"/>
        <v>7628.3914728682148</v>
      </c>
      <c r="N104" s="162">
        <f t="shared" si="11"/>
        <v>2.0455347336280502E-2</v>
      </c>
      <c r="O104" s="162">
        <f t="shared" si="12"/>
        <v>-0.13936960265833304</v>
      </c>
      <c r="P104" s="164">
        <f t="shared" si="13"/>
        <v>-0.10164536585756272</v>
      </c>
      <c r="Q104" s="164">
        <f t="shared" si="7"/>
        <v>4.0970429004248521E-2</v>
      </c>
      <c r="R104" s="166">
        <v>3.0620699999999997E-2</v>
      </c>
      <c r="S104" s="168">
        <f t="shared" si="14"/>
        <v>-9.3506298327983295E-3</v>
      </c>
      <c r="T104" s="168">
        <f t="shared" si="14"/>
        <v>-2.9198229765809991E-2</v>
      </c>
      <c r="U104" s="168">
        <f t="shared" si="14"/>
        <v>0.12587817224572873</v>
      </c>
      <c r="V104" s="168">
        <f t="shared" si="14"/>
        <v>8.927475762309367E-2</v>
      </c>
      <c r="W104" s="168">
        <f t="shared" si="14"/>
        <v>-6.7409743551915979E-2</v>
      </c>
      <c r="X104" s="168">
        <f t="shared" si="14"/>
        <v>8.6958477347422569E-2</v>
      </c>
    </row>
    <row r="105" spans="1:24">
      <c r="A105" s="165">
        <v>2012</v>
      </c>
      <c r="B105" s="376">
        <v>0.15890585241730293</v>
      </c>
      <c r="C105" s="376">
        <v>8.7599999999999993E-4</v>
      </c>
      <c r="D105" s="376">
        <v>2.971571978018946E-2</v>
      </c>
      <c r="E105" s="376">
        <v>9.3270633454791169E-2</v>
      </c>
      <c r="F105" s="376">
        <v>6.4371744791666519E-2</v>
      </c>
      <c r="G105" s="376">
        <v>5.6843442362654706E-2</v>
      </c>
      <c r="H105" s="375">
        <f t="shared" si="16"/>
        <v>193388.43092558492</v>
      </c>
      <c r="I105" s="163">
        <f t="shared" si="16"/>
        <v>1980.8806172682134</v>
      </c>
      <c r="J105" s="163">
        <f t="shared" si="16"/>
        <v>6926.4046862475598</v>
      </c>
      <c r="K105" s="163">
        <f t="shared" si="16"/>
        <v>32767.389935501258</v>
      </c>
      <c r="L105" s="163">
        <f t="shared" si="16"/>
        <v>2464.3912618026802</v>
      </c>
      <c r="M105" s="163">
        <f t="shared" si="16"/>
        <v>8062.0155038759658</v>
      </c>
      <c r="N105" s="162">
        <f t="shared" si="11"/>
        <v>0.15802985241730294</v>
      </c>
      <c r="O105" s="162">
        <f t="shared" si="12"/>
        <v>0.12919013263711346</v>
      </c>
      <c r="P105" s="164">
        <f t="shared" si="13"/>
        <v>6.563521896251176E-2</v>
      </c>
      <c r="Q105" s="164">
        <f t="shared" si="7"/>
        <v>4.1988275684727405E-2</v>
      </c>
      <c r="R105" s="166">
        <v>1.7595E-2</v>
      </c>
      <c r="S105" s="168">
        <f t="shared" si="14"/>
        <v>0.13886747912214847</v>
      </c>
      <c r="T105" s="168">
        <f t="shared" si="14"/>
        <v>-1.6429915634412429E-2</v>
      </c>
      <c r="U105" s="168">
        <f t="shared" si="14"/>
        <v>1.1911143215315834E-2</v>
      </c>
      <c r="V105" s="168">
        <f t="shared" si="14"/>
        <v>7.4367143563786486E-2</v>
      </c>
      <c r="W105" s="168">
        <f t="shared" si="14"/>
        <v>4.5967938906604777E-2</v>
      </c>
      <c r="X105" s="168">
        <f t="shared" si="14"/>
        <v>3.8569806615259106E-2</v>
      </c>
    </row>
    <row r="106" spans="1:24">
      <c r="A106" s="165">
        <v>2013</v>
      </c>
      <c r="B106" s="376">
        <v>0.32145085858125483</v>
      </c>
      <c r="C106" s="376">
        <v>5.708E-4</v>
      </c>
      <c r="D106" s="376">
        <v>-9.104568794347262E-2</v>
      </c>
      <c r="E106" s="376">
        <v>-9.8278909816801388E-3</v>
      </c>
      <c r="F106" s="376">
        <v>0.1071321827495848</v>
      </c>
      <c r="G106" s="376">
        <v>-0.27614182692307687</v>
      </c>
      <c r="H106" s="375">
        <f t="shared" si="16"/>
        <v>255553.30808629587</v>
      </c>
      <c r="I106" s="163">
        <f t="shared" si="16"/>
        <v>1982.01130392455</v>
      </c>
      <c r="J106" s="163">
        <f t="shared" si="16"/>
        <v>6295.7854066132577</v>
      </c>
      <c r="K106" s="163">
        <f t="shared" si="16"/>
        <v>32445.355599460949</v>
      </c>
      <c r="L106" s="163">
        <f t="shared" si="16"/>
        <v>2728.4068768286047</v>
      </c>
      <c r="M106" s="163">
        <f t="shared" si="16"/>
        <v>5835.7558139534867</v>
      </c>
      <c r="N106" s="162">
        <f t="shared" si="11"/>
        <v>0.32088005858125485</v>
      </c>
      <c r="O106" s="162">
        <f t="shared" si="12"/>
        <v>0.41249654652472745</v>
      </c>
      <c r="P106" s="164">
        <f t="shared" si="13"/>
        <v>0.33127874956293496</v>
      </c>
      <c r="Q106" s="164">
        <f t="shared" si="7"/>
        <v>4.6176809418723153E-2</v>
      </c>
      <c r="R106" s="166">
        <v>1.51284E-2</v>
      </c>
      <c r="S106" s="168">
        <f t="shared" si="14"/>
        <v>0.30175735264746284</v>
      </c>
      <c r="T106" s="168">
        <f t="shared" si="14"/>
        <v>-1.4340648926776223E-2</v>
      </c>
      <c r="U106" s="168">
        <f t="shared" si="14"/>
        <v>-0.10459178163419791</v>
      </c>
      <c r="V106" s="168">
        <f t="shared" si="14"/>
        <v>-2.4584368816476965E-2</v>
      </c>
      <c r="W106" s="168">
        <f t="shared" si="14"/>
        <v>9.0632655681374574E-2</v>
      </c>
      <c r="X106" s="168">
        <f t="shared" si="14"/>
        <v>-0.28692944352958394</v>
      </c>
    </row>
    <row r="107" spans="1:24">
      <c r="A107" s="165">
        <v>2014</v>
      </c>
      <c r="B107" s="376">
        <v>0.13524421649462237</v>
      </c>
      <c r="C107" s="376">
        <v>3.2719999999999998E-4</v>
      </c>
      <c r="D107" s="376">
        <v>0.10746180452004755</v>
      </c>
      <c r="E107" s="376">
        <v>0.10781775226724913</v>
      </c>
      <c r="F107" s="376">
        <v>4.5071006140053216E-2</v>
      </c>
      <c r="G107" s="376">
        <v>1.2453300124533051E-3</v>
      </c>
      <c r="H107" s="375">
        <f t="shared" si="16"/>
        <v>290115.4150110358</v>
      </c>
      <c r="I107" s="163">
        <f t="shared" si="16"/>
        <v>1982.6598180231942</v>
      </c>
      <c r="J107" s="163">
        <f t="shared" si="16"/>
        <v>6972.3418672788994</v>
      </c>
      <c r="K107" s="163">
        <f t="shared" si="16"/>
        <v>35943.540911706434</v>
      </c>
      <c r="L107" s="163">
        <f t="shared" si="16"/>
        <v>2851.3789199267103</v>
      </c>
      <c r="M107" s="163">
        <f t="shared" si="16"/>
        <v>5843.0232558139514</v>
      </c>
      <c r="N107" s="162">
        <f t="shared" si="11"/>
        <v>0.13491701649462237</v>
      </c>
      <c r="O107" s="162">
        <f t="shared" si="12"/>
        <v>2.7782411974574817E-2</v>
      </c>
      <c r="P107" s="164">
        <f t="shared" si="13"/>
        <v>2.7426464227373243E-2</v>
      </c>
      <c r="Q107" s="164">
        <f t="shared" si="7"/>
        <v>4.5975029375833421E-2</v>
      </c>
      <c r="R107" s="166">
        <v>6.5312E-3</v>
      </c>
      <c r="S107" s="168">
        <f t="shared" si="14"/>
        <v>0.12787782087095012</v>
      </c>
      <c r="T107" s="168">
        <f t="shared" si="14"/>
        <v>-6.1637433593711988E-3</v>
      </c>
      <c r="U107" s="168">
        <f t="shared" si="14"/>
        <v>0.10027568397288378</v>
      </c>
      <c r="V107" s="168">
        <f t="shared" si="14"/>
        <v>0.10062932203914721</v>
      </c>
      <c r="W107" s="168">
        <f t="shared" si="14"/>
        <v>3.8289728266797107E-2</v>
      </c>
      <c r="X107" s="168">
        <f t="shared" si="14"/>
        <v>-5.2515709275049449E-3</v>
      </c>
    </row>
    <row r="108" spans="1:24">
      <c r="A108" s="169">
        <v>2015</v>
      </c>
      <c r="B108" s="376">
        <v>1.3788916411676138E-2</v>
      </c>
      <c r="C108" s="376">
        <v>5.2031872509960154E-4</v>
      </c>
      <c r="D108" s="376">
        <v>1.2842996709792224E-2</v>
      </c>
      <c r="E108" s="376">
        <v>-1.5008531794429472E-2</v>
      </c>
      <c r="F108" s="376">
        <v>5.2000168207568365E-2</v>
      </c>
      <c r="G108" s="376">
        <v>-0.12106135986733002</v>
      </c>
      <c r="H108" s="375">
        <f t="shared" si="16"/>
        <v>294115.79221836175</v>
      </c>
      <c r="I108" s="163">
        <f t="shared" si="16"/>
        <v>1983.6914330520142</v>
      </c>
      <c r="J108" s="163">
        <f t="shared" si="16"/>
        <v>7061.8876309399093</v>
      </c>
      <c r="K108" s="163">
        <f t="shared" si="16"/>
        <v>35404.081135128712</v>
      </c>
      <c r="L108" s="163">
        <f t="shared" si="16"/>
        <v>2999.651103386414</v>
      </c>
      <c r="M108" s="163">
        <f t="shared" si="16"/>
        <v>5135.6589147286804</v>
      </c>
      <c r="N108" s="162">
        <f t="shared" si="11"/>
        <v>1.3268597686576535E-2</v>
      </c>
      <c r="O108" s="162">
        <f t="shared" si="12"/>
        <v>9.4591970188391376E-4</v>
      </c>
      <c r="P108" s="164">
        <f t="shared" si="13"/>
        <v>2.8797448206105608E-2</v>
      </c>
      <c r="Q108" s="164">
        <f t="shared" si="7"/>
        <v>4.5434457313765497E-2</v>
      </c>
      <c r="R108" s="166">
        <v>6.3871999999999991E-3</v>
      </c>
      <c r="S108" s="168">
        <f t="shared" si="14"/>
        <v>7.354740214975175E-3</v>
      </c>
      <c r="T108" s="168">
        <f t="shared" si="14"/>
        <v>-5.8296461589540938E-3</v>
      </c>
      <c r="U108" s="168">
        <f t="shared" si="14"/>
        <v>6.4148239462824552E-3</v>
      </c>
      <c r="V108" s="168">
        <f t="shared" si="14"/>
        <v>-2.1259940303721581E-2</v>
      </c>
      <c r="W108" s="168">
        <f t="shared" si="14"/>
        <v>4.5323478088322489E-2</v>
      </c>
      <c r="X108" s="168">
        <f t="shared" si="14"/>
        <v>-0.12663968685942151</v>
      </c>
    </row>
    <row r="109" spans="1:24">
      <c r="A109" s="379">
        <v>2016</v>
      </c>
      <c r="B109" s="376">
        <v>0.11773080874798171</v>
      </c>
      <c r="C109" s="376">
        <v>3.1612000000000003E-3</v>
      </c>
      <c r="D109" s="376">
        <v>6.9055046987477921E-3</v>
      </c>
      <c r="E109" s="376">
        <v>0.115244739105062</v>
      </c>
      <c r="F109" s="376">
        <v>5.3044535938829185E-2</v>
      </c>
      <c r="G109" s="376">
        <v>8.1037735849056602E-2</v>
      </c>
      <c r="H109" s="375">
        <f t="shared" si="16"/>
        <v>328742.28230178286</v>
      </c>
      <c r="I109" s="163">
        <f t="shared" si="16"/>
        <v>1989.9622784101784</v>
      </c>
      <c r="J109" s="163">
        <f t="shared" si="16"/>
        <v>7110.6535291573937</v>
      </c>
      <c r="K109" s="163">
        <f t="shared" si="16"/>
        <v>39484.215228801069</v>
      </c>
      <c r="L109" s="163">
        <f t="shared" si="16"/>
        <v>3158.766204143943</v>
      </c>
      <c r="M109" s="163">
        <f t="shared" si="16"/>
        <v>5551.8410852713159</v>
      </c>
      <c r="N109" s="162">
        <f t="shared" si="11"/>
        <v>0.11456960874798171</v>
      </c>
      <c r="O109" s="162">
        <f t="shared" si="12"/>
        <v>0.11082530404923392</v>
      </c>
      <c r="P109" s="164">
        <f t="shared" si="13"/>
        <v>2.486069642919711E-3</v>
      </c>
      <c r="Q109" s="164">
        <f t="shared" si="7"/>
        <v>4.6176501247687796E-2</v>
      </c>
      <c r="R109" s="166">
        <v>2.0508000000000002E-2</v>
      </c>
      <c r="S109" s="168">
        <f t="shared" si="14"/>
        <v>9.5269031450984976E-2</v>
      </c>
      <c r="T109" s="168">
        <f t="shared" si="14"/>
        <v>-1.6998200896024218E-2</v>
      </c>
      <c r="U109" s="168">
        <f t="shared" si="14"/>
        <v>-1.3329141272044986E-2</v>
      </c>
      <c r="V109" s="168">
        <f t="shared" si="14"/>
        <v>9.2832921549916403E-2</v>
      </c>
      <c r="W109" s="168">
        <f t="shared" si="14"/>
        <v>3.1882685818072298E-2</v>
      </c>
      <c r="X109" s="168">
        <f t="shared" si="14"/>
        <v>5.9313337915093856E-2</v>
      </c>
    </row>
    <row r="110" spans="1:24">
      <c r="A110" s="379">
        <v>2017</v>
      </c>
      <c r="B110" s="376">
        <v>0.2160548143449928</v>
      </c>
      <c r="C110" s="376">
        <v>9.3411999999999992E-3</v>
      </c>
      <c r="D110" s="376">
        <v>2.8017162707789457E-2</v>
      </c>
      <c r="E110" s="376">
        <v>9.2339050572547543E-2</v>
      </c>
      <c r="F110" s="376">
        <v>6.2069563897053426E-2</v>
      </c>
      <c r="G110" s="376">
        <v>0.12662535997905566</v>
      </c>
      <c r="H110" s="375">
        <f t="shared" si="16"/>
        <v>399768.63507184375</v>
      </c>
      <c r="I110" s="163">
        <f t="shared" si="16"/>
        <v>2008.5509140452634</v>
      </c>
      <c r="J110" s="163">
        <f t="shared" si="16"/>
        <v>7309.8738660425133</v>
      </c>
      <c r="K110" s="163">
        <f t="shared" si="16"/>
        <v>43130.150175630675</v>
      </c>
      <c r="L110" s="163">
        <f t="shared" si="16"/>
        <v>3354.8294448879083</v>
      </c>
      <c r="M110" s="163">
        <f t="shared" si="16"/>
        <v>6254.8449612403074</v>
      </c>
      <c r="N110" s="162">
        <f t="shared" si="11"/>
        <v>0.2067136143449928</v>
      </c>
      <c r="O110" s="162">
        <f t="shared" si="12"/>
        <v>0.18803765163720335</v>
      </c>
      <c r="P110" s="164">
        <f t="shared" si="13"/>
        <v>0.12371576377244525</v>
      </c>
      <c r="Q110" s="164">
        <f t="shared" si="7"/>
        <v>4.7686840373502015E-2</v>
      </c>
      <c r="R110" s="166">
        <v>2.12993E-2</v>
      </c>
      <c r="S110" s="168">
        <f t="shared" si="14"/>
        <v>0.19069386843307612</v>
      </c>
      <c r="T110" s="168">
        <f t="shared" si="14"/>
        <v>-1.1708712617349293E-2</v>
      </c>
      <c r="U110" s="168">
        <f t="shared" si="14"/>
        <v>6.5777610028612266E-3</v>
      </c>
      <c r="V110" s="168">
        <f t="shared" si="14"/>
        <v>6.9558209403010052E-2</v>
      </c>
      <c r="W110" s="168">
        <f t="shared" si="14"/>
        <v>3.9919995927788721E-2</v>
      </c>
      <c r="X110" s="168">
        <f t="shared" si="14"/>
        <v>0.10312947436569853</v>
      </c>
    </row>
    <row r="111" spans="1:24">
      <c r="A111" s="379">
        <v>2018</v>
      </c>
      <c r="B111" s="376">
        <v>-4.2268692890885438E-2</v>
      </c>
      <c r="C111" s="376">
        <v>1.936305220883534E-2</v>
      </c>
      <c r="D111" s="376">
        <v>-1.6692385713402633E-4</v>
      </c>
      <c r="E111" s="376">
        <v>-3.2694196838362347E-2</v>
      </c>
      <c r="F111" s="376">
        <v>4.5192288054245022E-2</v>
      </c>
      <c r="G111" s="376">
        <v>-9.2951200619674212E-3</v>
      </c>
      <c r="H111" s="375">
        <f t="shared" si="16"/>
        <v>382870.93740858353</v>
      </c>
      <c r="I111" s="163">
        <f t="shared" si="16"/>
        <v>2047.4425902580256</v>
      </c>
      <c r="J111" s="163">
        <f t="shared" si="16"/>
        <v>7308.6536737016304</v>
      </c>
      <c r="K111" s="163">
        <f t="shared" si="16"/>
        <v>41720.044556120476</v>
      </c>
      <c r="L111" s="163">
        <f t="shared" si="16"/>
        <v>3506.4418635341453</v>
      </c>
      <c r="M111" s="163">
        <f t="shared" si="16"/>
        <v>6196.7054263565869</v>
      </c>
      <c r="N111" s="162">
        <f t="shared" si="11"/>
        <v>-6.1631745099720775E-2</v>
      </c>
      <c r="O111" s="162">
        <f t="shared" si="12"/>
        <v>-4.2101769033751416E-2</v>
      </c>
      <c r="P111" s="164">
        <f t="shared" si="13"/>
        <v>-9.5744960525230918E-3</v>
      </c>
      <c r="Q111" s="164">
        <f t="shared" si="7"/>
        <v>4.6608669094632571E-2</v>
      </c>
      <c r="R111" s="166">
        <v>2.0023800000000001E-2</v>
      </c>
      <c r="S111" s="168">
        <f t="shared" si="14"/>
        <v>-6.1069646503233876E-2</v>
      </c>
      <c r="T111" s="168">
        <f t="shared" si="14"/>
        <v>-6.477768373293058E-4</v>
      </c>
      <c r="U111" s="168">
        <f t="shared" si="14"/>
        <v>-1.9794365442388662E-2</v>
      </c>
      <c r="V111" s="168">
        <f t="shared" si="14"/>
        <v>-5.1683104686736092E-2</v>
      </c>
      <c r="W111" s="168">
        <f t="shared" si="14"/>
        <v>2.4674412552182723E-2</v>
      </c>
      <c r="X111" s="168">
        <f t="shared" si="14"/>
        <v>-2.8743368597837993E-2</v>
      </c>
    </row>
    <row r="112" spans="1:24">
      <c r="A112" s="165">
        <v>2019</v>
      </c>
      <c r="B112" s="376">
        <v>0.31211679996808755</v>
      </c>
      <c r="C112" s="376">
        <v>2.0624799999999999E-2</v>
      </c>
      <c r="D112" s="376">
        <v>9.6356307415483927E-2</v>
      </c>
      <c r="E112" s="376">
        <v>0.15247765775278477</v>
      </c>
      <c r="F112" s="376">
        <v>3.685827760218463E-2</v>
      </c>
      <c r="G112" s="376">
        <v>0.19077404222048466</v>
      </c>
      <c r="H112" s="375">
        <f t="shared" si="16"/>
        <v>502371.38919333258</v>
      </c>
      <c r="I112" s="163">
        <f t="shared" si="16"/>
        <v>2089.6706841935793</v>
      </c>
      <c r="J112" s="163">
        <f t="shared" si="16"/>
        <v>8012.8885538781296</v>
      </c>
      <c r="K112" s="163">
        <f t="shared" si="16"/>
        <v>48081.41923137955</v>
      </c>
      <c r="L112" s="163">
        <f t="shared" si="16"/>
        <v>3635.6832711362085</v>
      </c>
      <c r="M112" s="163">
        <f t="shared" si="16"/>
        <v>7378.8759689922445</v>
      </c>
      <c r="N112" s="162">
        <f t="shared" si="11"/>
        <v>0.29149199996808756</v>
      </c>
      <c r="O112" s="162">
        <f t="shared" si="12"/>
        <v>0.21576049255260363</v>
      </c>
      <c r="P112" s="164">
        <f t="shared" si="13"/>
        <v>0.15963914221530279</v>
      </c>
      <c r="Q112" s="164">
        <f t="shared" si="7"/>
        <v>4.8253684406804442E-2</v>
      </c>
      <c r="R112" s="166">
        <v>2.3139900000000001E-2</v>
      </c>
      <c r="S112" s="168">
        <f t="shared" si="14"/>
        <v>0.28244123796568532</v>
      </c>
      <c r="T112" s="168">
        <f t="shared" si="14"/>
        <v>-2.4582171020797183E-3</v>
      </c>
      <c r="U112" s="168">
        <f t="shared" si="14"/>
        <v>7.1560504497462984E-2</v>
      </c>
      <c r="V112" s="168">
        <f t="shared" si="14"/>
        <v>0.12641258321837001</v>
      </c>
      <c r="W112" s="168">
        <f t="shared" si="14"/>
        <v>1.340811515823459E-2</v>
      </c>
      <c r="X112" s="168">
        <f t="shared" si="14"/>
        <v>0.16384283539375666</v>
      </c>
    </row>
    <row r="113" spans="1:25">
      <c r="A113" s="379">
        <v>2020</v>
      </c>
      <c r="B113" s="376">
        <v>0.18023201827422478</v>
      </c>
      <c r="C113" s="376">
        <v>3.547410358565737E-3</v>
      </c>
      <c r="D113" s="376">
        <v>0.1133189764661412</v>
      </c>
      <c r="E113" s="376">
        <v>0.10601187472880466</v>
      </c>
      <c r="F113" s="376">
        <v>0.10432135991858571</v>
      </c>
      <c r="G113" s="376">
        <v>0.24169402495075509</v>
      </c>
      <c r="H113" s="375">
        <f t="shared" si="16"/>
        <v>592914.79859087302</v>
      </c>
      <c r="I113" s="163">
        <f t="shared" si="16"/>
        <v>2097.0836036246787</v>
      </c>
      <c r="J113" s="163">
        <f t="shared" si="16"/>
        <v>8920.9008833408589</v>
      </c>
      <c r="K113" s="163">
        <f t="shared" si="16"/>
        <v>53178.620623719697</v>
      </c>
      <c r="L113" s="163">
        <f t="shared" si="16"/>
        <v>4014.96269421439</v>
      </c>
      <c r="M113" s="163">
        <f t="shared" si="16"/>
        <v>9162.3062015503838</v>
      </c>
      <c r="N113" s="162">
        <f t="shared" si="11"/>
        <v>0.17668460791565904</v>
      </c>
      <c r="O113" s="162">
        <f t="shared" si="12"/>
        <v>6.6913041808083579E-2</v>
      </c>
      <c r="P113" s="172">
        <f t="shared" si="13"/>
        <v>7.4220143545420114E-2</v>
      </c>
      <c r="Q113" s="164">
        <f t="shared" si="7"/>
        <v>4.8442663414424603E-2</v>
      </c>
      <c r="R113" s="166">
        <v>1.32204E-2</v>
      </c>
      <c r="S113" s="173">
        <f t="shared" si="14"/>
        <v>0.16483246712583433</v>
      </c>
      <c r="T113" s="173">
        <f t="shared" si="14"/>
        <v>-9.5467774251626336E-3</v>
      </c>
      <c r="U113" s="173">
        <f t="shared" si="14"/>
        <v>9.8792500097847791E-2</v>
      </c>
      <c r="V113" s="173">
        <f t="shared" si="14"/>
        <v>9.1580740704396257E-2</v>
      </c>
      <c r="W113" s="173">
        <f t="shared" si="14"/>
        <v>8.991228356494374E-2</v>
      </c>
      <c r="X113" s="168">
        <f t="shared" si="14"/>
        <v>0.22549252359186123</v>
      </c>
    </row>
    <row r="114" spans="1:25">
      <c r="A114" s="379">
        <v>2021</v>
      </c>
      <c r="B114" s="376">
        <v>0.28468851751964158</v>
      </c>
      <c r="C114" s="376">
        <v>4.5019920318725102E-4</v>
      </c>
      <c r="D114" s="376">
        <v>-4.416034448604475E-2</v>
      </c>
      <c r="E114" s="376">
        <v>9.3344457198752777E-3</v>
      </c>
      <c r="F114" s="376">
        <v>0.18874952003071788</v>
      </c>
      <c r="G114" s="376">
        <v>-3.7544286394162185E-2</v>
      </c>
      <c r="H114" s="375">
        <f t="shared" si="16"/>
        <v>761710.83361716557</v>
      </c>
      <c r="I114" s="163">
        <f t="shared" si="16"/>
        <v>2098.0277089920478</v>
      </c>
      <c r="J114" s="163">
        <f t="shared" si="16"/>
        <v>8526.9508272066651</v>
      </c>
      <c r="K114" s="163">
        <f t="shared" si="16"/>
        <v>53675.013571389645</v>
      </c>
      <c r="L114" s="163">
        <f t="shared" si="16"/>
        <v>4772.7849756885944</v>
      </c>
      <c r="M114" s="163">
        <f t="shared" si="16"/>
        <v>8818.3139534883685</v>
      </c>
      <c r="N114" s="162">
        <f t="shared" si="11"/>
        <v>0.28423831831645435</v>
      </c>
      <c r="O114" s="162">
        <f t="shared" si="12"/>
        <v>0.3288488620056863</v>
      </c>
      <c r="P114" s="172">
        <f t="shared" si="13"/>
        <v>0.27535407179976629</v>
      </c>
      <c r="Q114" s="164">
        <f t="shared" si="7"/>
        <v>5.1322006296357525E-2</v>
      </c>
      <c r="R114" s="166">
        <v>7.1944599999999997E-2</v>
      </c>
      <c r="S114" s="173">
        <f t="shared" si="14"/>
        <v>0.19846540345428454</v>
      </c>
      <c r="T114" s="173">
        <f t="shared" si="14"/>
        <v>-6.6695984845497214E-2</v>
      </c>
      <c r="U114" s="173">
        <f t="shared" si="14"/>
        <v>-0.10831244869002066</v>
      </c>
      <c r="V114" s="173">
        <f t="shared" si="14"/>
        <v>-5.8408013138108728E-2</v>
      </c>
      <c r="W114" s="173">
        <f>(1+F114)/(1+$R114)-1</f>
        <v>0.10896544469809166</v>
      </c>
      <c r="X114" s="168">
        <f t="shared" si="14"/>
        <v>-0.1021404337445817</v>
      </c>
    </row>
    <row r="115" spans="1:25">
      <c r="A115" s="379">
        <v>2022</v>
      </c>
      <c r="B115" s="376">
        <v>-0.18037505927178585</v>
      </c>
      <c r="C115" s="376">
        <v>2.0247791164658632E-2</v>
      </c>
      <c r="D115" s="376">
        <v>-0.1782817153825067</v>
      </c>
      <c r="E115" s="376">
        <v>-0.15144078553554258</v>
      </c>
      <c r="F115" s="376">
        <v>5.667711058712066E-2</v>
      </c>
      <c r="G115" s="376">
        <v>5.494203615185933E-3</v>
      </c>
      <c r="H115" s="375">
        <f t="shared" si="16"/>
        <v>624317.19685550791</v>
      </c>
      <c r="I115" s="163">
        <f t="shared" si="16"/>
        <v>2140.5081359013857</v>
      </c>
      <c r="J115" s="163">
        <f t="shared" si="16"/>
        <v>7006.751406749976</v>
      </c>
      <c r="K115" s="163">
        <f t="shared" si="16"/>
        <v>45546.427352507482</v>
      </c>
      <c r="L115" s="174">
        <f t="shared" si="16"/>
        <v>5043.2926375642446</v>
      </c>
      <c r="M115" s="163">
        <f t="shared" si="16"/>
        <v>8866.7635658914696</v>
      </c>
      <c r="N115" s="162">
        <f>B115-C115</f>
        <v>-0.20062285043644448</v>
      </c>
      <c r="O115" s="162">
        <f>B115-D115</f>
        <v>-2.0933438892791478E-3</v>
      </c>
      <c r="P115" s="172">
        <f t="shared" si="13"/>
        <v>-2.8934273736243271E-2</v>
      </c>
      <c r="Q115" s="164">
        <f>((H115/100)^(1/(A115-$A$21+1)))-((J115/100)^(1/(A115-$A$21+1)))</f>
        <v>5.0609420169760888E-2</v>
      </c>
      <c r="R115" s="166">
        <v>6.4449400000000004E-2</v>
      </c>
      <c r="S115" s="173">
        <f t="shared" si="14"/>
        <v>-0.23000103083508328</v>
      </c>
      <c r="T115" s="173">
        <f t="shared" si="14"/>
        <v>-4.1525326460178813E-2</v>
      </c>
      <c r="U115" s="173">
        <f t="shared" si="14"/>
        <v>-0.22803443299653947</v>
      </c>
      <c r="V115" s="173">
        <f t="shared" si="14"/>
        <v>-0.20281864552278639</v>
      </c>
      <c r="W115" s="173">
        <f>(1+F115)/(1+$R115)-1</f>
        <v>-7.3016992755873256E-3</v>
      </c>
      <c r="X115" s="173">
        <f t="shared" si="14"/>
        <v>-5.5385626019249012E-2</v>
      </c>
    </row>
    <row r="116" spans="1:25">
      <c r="A116" s="170">
        <v>2023</v>
      </c>
      <c r="B116" s="376">
        <v>0.26060684985024096</v>
      </c>
      <c r="C116" s="376">
        <v>5.0703614457831322E-2</v>
      </c>
      <c r="D116" s="376">
        <v>3.8800000000000001E-2</v>
      </c>
      <c r="E116" s="380">
        <v>8.7356722013658433E-2</v>
      </c>
      <c r="F116" s="380">
        <v>6.2926469739116753E-2</v>
      </c>
      <c r="G116" s="376">
        <v>0.13262116824217252</v>
      </c>
      <c r="H116" s="375">
        <f t="shared" si="16"/>
        <v>787018.53483535454</v>
      </c>
      <c r="I116" s="163">
        <f t="shared" si="16"/>
        <v>2249.0396351679806</v>
      </c>
      <c r="J116" s="163">
        <f t="shared" si="16"/>
        <v>7278.6133613318743</v>
      </c>
      <c r="K116" s="163">
        <f t="shared" si="16"/>
        <v>49525.213945455769</v>
      </c>
      <c r="L116" s="174">
        <f>L115*(1+F116)</f>
        <v>5360.6492391074416</v>
      </c>
      <c r="M116" s="174">
        <f>M115*(1+G116)</f>
        <v>10042.684108527128</v>
      </c>
      <c r="N116" s="162">
        <f>B116-C116</f>
        <v>0.20990323539240963</v>
      </c>
      <c r="O116" s="162">
        <f>B116-D116</f>
        <v>0.22180684985024096</v>
      </c>
      <c r="P116" s="172">
        <f>B116-E116</f>
        <v>0.17325012783658253</v>
      </c>
      <c r="Q116" s="164">
        <f>((H116/100)^(1/(A116-$A$21+1)))-((J116/100)^(1/(A116-$A$21+1)))</f>
        <v>5.2277478113130105E-2</v>
      </c>
      <c r="R116" s="166">
        <v>3.1200000000000002E-2</v>
      </c>
      <c r="S116" s="173">
        <f>(1+B116)/(1+$R116)-1</f>
        <v>0.22246591335360844</v>
      </c>
      <c r="T116" s="173">
        <f>(1+C116)/(1+$R116)-1</f>
        <v>1.8913512856702175E-2</v>
      </c>
      <c r="U116" s="173">
        <f>(1+D116)/(1+$R116)-1</f>
        <v>7.3700543056633983E-3</v>
      </c>
      <c r="V116" s="173">
        <f>(1+E116)/(1+$R116)-1</f>
        <v>5.4457643535355427E-2</v>
      </c>
      <c r="W116" s="173">
        <f>(1+F116)/(1+$R116)-1</f>
        <v>3.0766553276878161E-2</v>
      </c>
      <c r="X116" s="173">
        <f>(1+G116)/(1+$R116)-1</f>
        <v>9.835256811692461E-2</v>
      </c>
    </row>
    <row r="117" spans="1:25" ht="16" thickBot="1">
      <c r="J117" s="175"/>
      <c r="K117" s="176"/>
      <c r="L117" s="176"/>
      <c r="M117" s="177"/>
      <c r="R117" s="135"/>
      <c r="T117" s="134"/>
    </row>
    <row r="118" spans="1:25" ht="16" thickBot="1">
      <c r="A118" s="868" t="s">
        <v>3310</v>
      </c>
      <c r="B118" s="869"/>
      <c r="C118" s="869"/>
      <c r="D118" s="869"/>
      <c r="E118" s="869"/>
      <c r="F118" s="869"/>
      <c r="G118" s="870"/>
      <c r="H118" s="156"/>
      <c r="I118" s="155"/>
      <c r="J118" s="871" t="s">
        <v>3311</v>
      </c>
      <c r="K118" s="872"/>
      <c r="L118" s="873" t="s">
        <v>4047</v>
      </c>
      <c r="M118" s="874"/>
      <c r="R118" s="868" t="s">
        <v>3313</v>
      </c>
      <c r="S118" s="869"/>
      <c r="T118" s="869"/>
      <c r="U118" s="869"/>
      <c r="V118" s="869"/>
      <c r="W118" s="869"/>
      <c r="X118" s="870"/>
    </row>
    <row r="119" spans="1:25" ht="62">
      <c r="A119" s="178" t="s">
        <v>4048</v>
      </c>
      <c r="B119" s="179">
        <f t="shared" ref="B119:G119" si="17">AVERAGE(B21:B116)</f>
        <v>0.11657849316284237</v>
      </c>
      <c r="C119" s="179">
        <f t="shared" si="17"/>
        <v>3.3384696618560063E-2</v>
      </c>
      <c r="D119" s="179">
        <f t="shared" si="17"/>
        <v>4.8586785606841654E-2</v>
      </c>
      <c r="E119" s="179">
        <f t="shared" si="17"/>
        <v>6.9536668579181324E-2</v>
      </c>
      <c r="F119" s="179">
        <f t="shared" si="17"/>
        <v>4.418145597965447E-2</v>
      </c>
      <c r="G119" s="179">
        <f t="shared" si="17"/>
        <v>6.554177020740598E-2</v>
      </c>
      <c r="H119" s="180"/>
      <c r="I119" s="180"/>
      <c r="J119" s="181" t="s">
        <v>3315</v>
      </c>
      <c r="K119" s="181" t="s">
        <v>3316</v>
      </c>
      <c r="L119" s="181" t="s">
        <v>3315</v>
      </c>
      <c r="M119" s="181" t="s">
        <v>3316</v>
      </c>
      <c r="R119" s="182"/>
      <c r="S119" s="183" t="s">
        <v>3304</v>
      </c>
      <c r="T119" s="183" t="s">
        <v>3305</v>
      </c>
      <c r="U119" s="183" t="s">
        <v>3306</v>
      </c>
      <c r="V119" s="183" t="s">
        <v>3307</v>
      </c>
      <c r="W119" s="183" t="s">
        <v>3308</v>
      </c>
      <c r="X119" s="183" t="s">
        <v>3309</v>
      </c>
    </row>
    <row r="120" spans="1:25">
      <c r="A120" s="184" t="s">
        <v>4049</v>
      </c>
      <c r="B120" s="185">
        <f t="shared" ref="B120:G120" si="18">AVERAGE(B67:B116)</f>
        <v>0.12538526727029611</v>
      </c>
      <c r="C120" s="185">
        <f t="shared" si="18"/>
        <v>4.3589751211456258E-2</v>
      </c>
      <c r="D120" s="185">
        <f t="shared" si="18"/>
        <v>6.593433114607683E-2</v>
      </c>
      <c r="E120" s="185">
        <f t="shared" si="18"/>
        <v>8.8158176472439911E-2</v>
      </c>
      <c r="F120" s="185">
        <f t="shared" si="18"/>
        <v>5.5598364227668673E-2</v>
      </c>
      <c r="G120" s="185">
        <f t="shared" si="18"/>
        <v>8.3626259466218544E-2</v>
      </c>
      <c r="H120" s="153"/>
      <c r="I120" s="153"/>
      <c r="J120" s="185">
        <f>B119-C119</f>
        <v>8.31937965442823E-2</v>
      </c>
      <c r="K120" s="185">
        <f>B119-D119</f>
        <v>6.7991707556000716E-2</v>
      </c>
      <c r="L120" s="186">
        <f>STDEV(N21:N116)/(($A$116-$A$21+1)^0.5)</f>
        <v>2.0281402852918649E-2</v>
      </c>
      <c r="M120" s="186">
        <f>STDEV(O21:O116)/(($A$116-$A$21+1)^0.5)</f>
        <v>2.136736485935305E-2</v>
      </c>
      <c r="R120" s="178" t="s">
        <v>4048</v>
      </c>
      <c r="S120" s="186">
        <f t="shared" ref="S120:X120" si="19">AVERAGE(S21:S116)</f>
        <v>8.4038420978469183E-2</v>
      </c>
      <c r="T120" s="186">
        <f t="shared" si="19"/>
        <v>3.1521929081669447E-3</v>
      </c>
      <c r="U120" s="186">
        <f t="shared" si="19"/>
        <v>1.8600207623565235E-2</v>
      </c>
      <c r="V120" s="186">
        <f t="shared" si="19"/>
        <v>3.8964292416927858E-2</v>
      </c>
      <c r="W120" s="186">
        <f t="shared" si="19"/>
        <v>1.2786417375336397E-2</v>
      </c>
      <c r="X120" s="186">
        <f t="shared" si="19"/>
        <v>3.2739849365627356E-2</v>
      </c>
    </row>
    <row r="121" spans="1:25">
      <c r="A121" s="184" t="s">
        <v>4050</v>
      </c>
      <c r="B121" s="185">
        <f t="shared" ref="B121:G121" si="20">AVERAGE(B107:B116)</f>
        <v>0.12978191894487967</v>
      </c>
      <c r="C121" s="185">
        <f t="shared" si="20"/>
        <v>1.2828678611817787E-2</v>
      </c>
      <c r="D121" s="185">
        <f t="shared" si="20"/>
        <v>1.810937687923167E-2</v>
      </c>
      <c r="E121" s="185">
        <f t="shared" si="20"/>
        <v>4.7143872799164745E-2</v>
      </c>
      <c r="F121" s="185">
        <f t="shared" si="20"/>
        <v>7.0691030011547487E-2</v>
      </c>
      <c r="G121" s="185">
        <f t="shared" si="20"/>
        <v>6.1159109854570418E-2</v>
      </c>
      <c r="H121" s="153"/>
      <c r="I121" s="153"/>
      <c r="J121" s="185">
        <f>B120-C120</f>
        <v>8.1795516058839862E-2</v>
      </c>
      <c r="K121" s="185">
        <f>B120-D120</f>
        <v>5.9450936124219284E-2</v>
      </c>
      <c r="L121" s="185">
        <f>STDEV(N67:N116)/(($A$116-$A$67+1)^0.5)</f>
        <v>2.446119319205476E-2</v>
      </c>
      <c r="M121" s="185">
        <f>STDEV(O67:O116)/(($A$116-$A$67+1)^0.5)</f>
        <v>2.7325166458689775E-2</v>
      </c>
      <c r="R121" s="184" t="s">
        <v>4049</v>
      </c>
      <c r="S121" s="185">
        <f t="shared" ref="S121:X121" si="21">AVERAGE(S67:S116)</f>
        <v>8.4191824190056982E-2</v>
      </c>
      <c r="T121" s="185">
        <f t="shared" si="21"/>
        <v>4.5697754536127237E-3</v>
      </c>
      <c r="U121" s="185">
        <f t="shared" si="21"/>
        <v>2.7310082077033195E-2</v>
      </c>
      <c r="V121" s="185">
        <f t="shared" si="21"/>
        <v>4.8721048396831383E-2</v>
      </c>
      <c r="W121" s="185">
        <f t="shared" si="21"/>
        <v>1.6131781018441666E-2</v>
      </c>
      <c r="X121" s="185">
        <f t="shared" si="21"/>
        <v>4.1054850472210497E-2</v>
      </c>
    </row>
    <row r="122" spans="1:25" ht="16" thickBot="1">
      <c r="J122" s="185">
        <f>B121-C121</f>
        <v>0.11695324033306188</v>
      </c>
      <c r="K122" s="185">
        <f>B121-D121</f>
        <v>0.111672542065648</v>
      </c>
      <c r="L122" s="185">
        <f>STDEV(N107:N116)/(($A$116-$A$107+1)^0.5)</f>
        <v>4.9725758253884568E-2</v>
      </c>
      <c r="M122" s="185">
        <f>STDEV(O107:O116)/(($A$116-$A$107+1)^0.5)</f>
        <v>3.8564856793299435E-2</v>
      </c>
      <c r="R122" s="184" t="s">
        <v>4050</v>
      </c>
      <c r="S122" s="185">
        <f t="shared" ref="S122:X122" si="22">AVERAGE(S107:S116)</f>
        <v>9.9832980553108186E-2</v>
      </c>
      <c r="T122" s="185">
        <f t="shared" si="22"/>
        <v>-1.4266087284524432E-2</v>
      </c>
      <c r="U122" s="185">
        <f t="shared" si="22"/>
        <v>-7.847906057799215E-3</v>
      </c>
      <c r="V122" s="185">
        <f t="shared" si="22"/>
        <v>2.0130171679884255E-2</v>
      </c>
      <c r="W122" s="185">
        <f t="shared" si="22"/>
        <v>4.1584099807572418E-2</v>
      </c>
      <c r="X122" s="185">
        <f t="shared" si="22"/>
        <v>3.3197005323473971E-2</v>
      </c>
    </row>
    <row r="123" spans="1:25" ht="16" thickBot="1">
      <c r="A123" s="868" t="s">
        <v>3319</v>
      </c>
      <c r="B123" s="869"/>
      <c r="C123" s="869"/>
      <c r="D123" s="869"/>
      <c r="E123" s="869"/>
      <c r="F123" s="869"/>
      <c r="G123" s="870"/>
      <c r="H123" s="156"/>
      <c r="I123" s="156"/>
      <c r="K123" s="187" t="s">
        <v>3311</v>
      </c>
      <c r="L123" s="187"/>
      <c r="M123" s="187"/>
      <c r="T123" s="134"/>
      <c r="Y123" s="188"/>
    </row>
    <row r="124" spans="1:25">
      <c r="A124" s="178" t="s">
        <v>4048</v>
      </c>
      <c r="B124" s="189">
        <f t="shared" ref="B124:G124" si="23">(H116/100)^(1/($A$116-$A$21+1))-1</f>
        <v>9.795155131568678E-2</v>
      </c>
      <c r="C124" s="189">
        <f t="shared" si="23"/>
        <v>3.2959521569863703E-2</v>
      </c>
      <c r="D124" s="189">
        <f t="shared" si="23"/>
        <v>4.5674073202556675E-2</v>
      </c>
      <c r="E124" s="189">
        <f t="shared" si="23"/>
        <v>6.6770771483351199E-2</v>
      </c>
      <c r="F124" s="189">
        <f t="shared" si="23"/>
        <v>4.2347864928397039E-2</v>
      </c>
      <c r="G124" s="189">
        <f t="shared" si="23"/>
        <v>4.9186278389818705E-2</v>
      </c>
      <c r="H124" s="190"/>
      <c r="I124" s="190"/>
      <c r="J124" s="191" t="s">
        <v>3315</v>
      </c>
      <c r="K124" s="191" t="s">
        <v>3316</v>
      </c>
      <c r="T124" s="188"/>
      <c r="U124" s="188"/>
      <c r="V124" s="188"/>
      <c r="W124" s="188"/>
      <c r="X124" s="188"/>
      <c r="Y124" s="188"/>
    </row>
    <row r="125" spans="1:25">
      <c r="A125" s="184" t="s">
        <v>4049</v>
      </c>
      <c r="B125" s="192">
        <f t="shared" ref="B125:G125" si="24">(H116/H66)^(1/($A$116-$A$66))-1</f>
        <v>0.11097823475676272</v>
      </c>
      <c r="C125" s="192">
        <f t="shared" si="24"/>
        <v>4.30386237499647E-2</v>
      </c>
      <c r="D125" s="192">
        <f t="shared" si="24"/>
        <v>6.1247765884341554E-2</v>
      </c>
      <c r="E125" s="192">
        <f t="shared" si="24"/>
        <v>8.4851931954631254E-2</v>
      </c>
      <c r="F125" s="192">
        <f t="shared" si="24"/>
        <v>5.4037475786791633E-2</v>
      </c>
      <c r="G125" s="192">
        <f t="shared" si="24"/>
        <v>6.0052715551885738E-2</v>
      </c>
      <c r="H125" s="190"/>
      <c r="I125" s="190"/>
      <c r="J125" s="185">
        <f>B124-C124</f>
        <v>6.4992029745823077E-2</v>
      </c>
      <c r="K125" s="185">
        <f>B124-D124</f>
        <v>5.2277478113130105E-2</v>
      </c>
      <c r="L125" s="193"/>
      <c r="M125" s="193"/>
      <c r="T125" s="188"/>
      <c r="U125" s="188"/>
      <c r="V125" s="188"/>
      <c r="W125" s="188"/>
      <c r="X125" s="188"/>
      <c r="Y125" s="188"/>
    </row>
    <row r="126" spans="1:25">
      <c r="A126" s="184" t="s">
        <v>4050</v>
      </c>
      <c r="B126" s="192">
        <f t="shared" ref="B126:G126" si="25">(H116/H106)^(1/($A$116-$A$106))-1</f>
        <v>0.11905219988153348</v>
      </c>
      <c r="C126" s="192">
        <f t="shared" si="25"/>
        <v>1.2719326909745643E-2</v>
      </c>
      <c r="D126" s="192">
        <f t="shared" si="25"/>
        <v>1.4611717050573514E-2</v>
      </c>
      <c r="E126" s="192">
        <f t="shared" si="25"/>
        <v>4.3199528738537385E-2</v>
      </c>
      <c r="F126" s="192">
        <f t="shared" si="25"/>
        <v>6.986954632533493E-2</v>
      </c>
      <c r="G126" s="192">
        <f t="shared" si="25"/>
        <v>5.5784469032248207E-2</v>
      </c>
      <c r="H126" s="190"/>
      <c r="I126" s="190"/>
      <c r="J126" s="185">
        <f>B125-C125</f>
        <v>6.7939611006798017E-2</v>
      </c>
      <c r="K126" s="185">
        <f>B125-D125</f>
        <v>4.9730468872421163E-2</v>
      </c>
      <c r="L126" s="193"/>
      <c r="M126" s="193"/>
      <c r="T126" s="188"/>
      <c r="U126" s="188"/>
      <c r="V126" s="188"/>
      <c r="W126" s="188"/>
      <c r="X126" s="188"/>
      <c r="Y126" s="188"/>
    </row>
    <row r="127" spans="1:25">
      <c r="B127" s="134" t="e">
        <f>GEOMEAN(B107:B116)</f>
        <v>#NUM!</v>
      </c>
      <c r="J127" s="185">
        <f>B126-C126</f>
        <v>0.10633287297178784</v>
      </c>
      <c r="K127" s="185">
        <f>B126-D126</f>
        <v>0.10444048283095997</v>
      </c>
      <c r="L127" s="193"/>
      <c r="M127" s="193"/>
      <c r="T127" s="188"/>
      <c r="U127" s="188"/>
      <c r="V127" s="188"/>
      <c r="W127" s="188"/>
      <c r="X127" s="188"/>
    </row>
    <row r="128" spans="1:25">
      <c r="A128" s="134" t="s">
        <v>3320</v>
      </c>
    </row>
    <row r="129" spans="1:1">
      <c r="A129" s="134" t="s">
        <v>3321</v>
      </c>
    </row>
  </sheetData>
  <mergeCells count="17">
    <mergeCell ref="R19:X19"/>
    <mergeCell ref="B1:I1"/>
    <mergeCell ref="B2:I2"/>
    <mergeCell ref="B3:E3"/>
    <mergeCell ref="H3:I3"/>
    <mergeCell ref="B4:I4"/>
    <mergeCell ref="B5:I5"/>
    <mergeCell ref="B6:I6"/>
    <mergeCell ref="B7:I7"/>
    <mergeCell ref="B19:G19"/>
    <mergeCell ref="H19:M19"/>
    <mergeCell ref="N19:Q19"/>
    <mergeCell ref="A118:G118"/>
    <mergeCell ref="J118:K118"/>
    <mergeCell ref="L118:M118"/>
    <mergeCell ref="R118:X118"/>
    <mergeCell ref="A123:G123"/>
  </mergeCells>
  <hyperlinks>
    <hyperlink ref="B2" r:id="rId1" xr:uid="{3424654D-660A-43D8-99EE-CD56951E5172}"/>
    <hyperlink ref="B4" r:id="rId2" xr:uid="{8F39B63F-336C-4689-AE4A-4CC59BB3813F}"/>
    <hyperlink ref="B5" r:id="rId3" display="http://www.stern.nyu.edu/~adamodar/New_Home_Page/data.html" xr:uid="{6D754219-EB08-4176-9F99-6F0F19230B1D}"/>
    <hyperlink ref="B6" r:id="rId4" display="http://www.stern.nyu.edu/~adamodar/pc/datasets/indname.xls" xr:uid="{43090B40-B340-4373-BDCA-10B22A87AE4C}"/>
    <hyperlink ref="B7" r:id="rId5" display="http://www.stern.nyu.edu/~adamodar/New_Home_Page/datafile/variable.htm" xr:uid="{BCC36970-4A91-45B1-B2D3-7C0C5BFE3BCD}"/>
  </hyperlinks>
  <printOptions gridLines="1" gridLinesSet="0"/>
  <pageMargins left="0.75" right="0.75" top="1" bottom="1" header="0.5" footer="0.5"/>
  <pageSetup orientation="portrait" horizontalDpi="4294967292" verticalDpi="4294967292"/>
  <headerFooter alignWithMargins="0">
    <oddHeader>&amp;A</oddHeader>
    <oddFooter>Page &amp;P</oddFooter>
  </headerFooter>
  <legacyDrawing r:id="rId6"/>
  <tableParts count="1">
    <tablePart r:id="rId7"/>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DCF9-6FA3-42F0-951B-B3E84A21B2AD}">
  <dimension ref="A1:G21"/>
  <sheetViews>
    <sheetView workbookViewId="0">
      <selection activeCell="D19" sqref="D19"/>
    </sheetView>
  </sheetViews>
  <sheetFormatPr baseColWidth="10" defaultColWidth="11.453125" defaultRowHeight="14.5"/>
  <sheetData>
    <row r="1" spans="1:7">
      <c r="A1" t="s">
        <v>2570</v>
      </c>
      <c r="B1" s="563" t="s">
        <v>3331</v>
      </c>
      <c r="C1" s="563"/>
      <c r="D1" s="563"/>
      <c r="E1" s="563"/>
      <c r="F1" s="563"/>
      <c r="G1" s="563"/>
    </row>
    <row r="3" spans="1:7">
      <c r="A3" s="194" t="s">
        <v>2822</v>
      </c>
      <c r="B3" s="194" t="s">
        <v>3322</v>
      </c>
      <c r="C3" s="194" t="s">
        <v>3323</v>
      </c>
      <c r="D3" s="194"/>
    </row>
    <row r="4" spans="1:7">
      <c r="A4" s="381">
        <v>2023</v>
      </c>
      <c r="B4" s="382">
        <v>2.72</v>
      </c>
      <c r="C4" s="383">
        <f t="shared" ref="C4:C19" si="0">B4/100</f>
        <v>2.7200000000000002E-2</v>
      </c>
      <c r="D4" s="382">
        <f t="shared" ref="D4:D19" si="1">100*(1+C4)</f>
        <v>102.72000000000001</v>
      </c>
    </row>
    <row r="5" spans="1:7">
      <c r="A5" s="381">
        <v>2022</v>
      </c>
      <c r="B5" s="382">
        <v>3.69</v>
      </c>
      <c r="C5" s="383">
        <f t="shared" si="0"/>
        <v>3.6900000000000002E-2</v>
      </c>
      <c r="D5" s="382">
        <f t="shared" si="1"/>
        <v>103.69</v>
      </c>
    </row>
    <row r="6" spans="1:7">
      <c r="A6" s="381">
        <v>2021</v>
      </c>
      <c r="B6" s="382">
        <v>3.53</v>
      </c>
      <c r="C6" s="383">
        <f t="shared" si="0"/>
        <v>3.5299999999999998E-2</v>
      </c>
      <c r="D6" s="382">
        <f t="shared" si="1"/>
        <v>103.52999999999999</v>
      </c>
    </row>
    <row r="7" spans="1:7">
      <c r="A7" s="381">
        <v>2020</v>
      </c>
      <c r="B7" s="382">
        <v>2.06</v>
      </c>
      <c r="C7" s="383">
        <f t="shared" si="0"/>
        <v>2.06E-2</v>
      </c>
      <c r="D7" s="382">
        <f t="shared" si="1"/>
        <v>102.06</v>
      </c>
    </row>
    <row r="8" spans="1:7">
      <c r="A8" s="381">
        <v>2019</v>
      </c>
      <c r="B8" s="382">
        <v>1.61</v>
      </c>
      <c r="C8" s="383">
        <f t="shared" si="0"/>
        <v>1.61E-2</v>
      </c>
      <c r="D8" s="382">
        <f t="shared" si="1"/>
        <v>101.61</v>
      </c>
    </row>
    <row r="9" spans="1:7">
      <c r="A9" s="381">
        <v>2018</v>
      </c>
      <c r="B9" s="382">
        <v>2.2768700000000002</v>
      </c>
      <c r="C9" s="383">
        <f t="shared" si="0"/>
        <v>2.2768700000000003E-2</v>
      </c>
      <c r="D9" s="382">
        <f t="shared" si="1"/>
        <v>102.27687</v>
      </c>
    </row>
    <row r="10" spans="1:7">
      <c r="A10" s="381">
        <v>2017</v>
      </c>
      <c r="B10" s="382">
        <v>1.72512</v>
      </c>
      <c r="C10" s="383">
        <f t="shared" si="0"/>
        <v>1.7251200000000001E-2</v>
      </c>
      <c r="D10" s="382">
        <f t="shared" si="1"/>
        <v>101.72512</v>
      </c>
    </row>
    <row r="11" spans="1:7">
      <c r="A11" s="381">
        <v>2016</v>
      </c>
      <c r="B11" s="382">
        <v>2.2487400000000002</v>
      </c>
      <c r="C11" s="383">
        <f t="shared" si="0"/>
        <v>2.2487400000000001E-2</v>
      </c>
      <c r="D11" s="382">
        <f t="shared" si="1"/>
        <v>102.24874</v>
      </c>
    </row>
    <row r="12" spans="1:7">
      <c r="A12" s="381">
        <v>2015</v>
      </c>
      <c r="B12" s="382">
        <v>3.1718099999999998</v>
      </c>
      <c r="C12" s="383">
        <f t="shared" si="0"/>
        <v>3.1718099999999999E-2</v>
      </c>
      <c r="D12" s="382">
        <f t="shared" si="1"/>
        <v>103.17180999999999</v>
      </c>
    </row>
    <row r="13" spans="1:7">
      <c r="A13" s="381">
        <v>2014</v>
      </c>
      <c r="B13" s="382">
        <v>1.9614400000000001</v>
      </c>
      <c r="C13" s="383">
        <f t="shared" si="0"/>
        <v>1.9614400000000001E-2</v>
      </c>
      <c r="D13" s="382">
        <f t="shared" si="1"/>
        <v>101.96144000000001</v>
      </c>
    </row>
    <row r="14" spans="1:7">
      <c r="A14" s="381">
        <v>2013</v>
      </c>
      <c r="B14" s="382">
        <v>1.6319600000000001</v>
      </c>
      <c r="C14" s="384">
        <f t="shared" si="0"/>
        <v>1.63196E-2</v>
      </c>
      <c r="D14" s="382">
        <f t="shared" si="1"/>
        <v>101.63196000000001</v>
      </c>
    </row>
    <row r="15" spans="1:7">
      <c r="A15" s="381">
        <v>2012</v>
      </c>
      <c r="B15" s="382">
        <v>1.1201000000000001</v>
      </c>
      <c r="C15" s="385">
        <f t="shared" si="0"/>
        <v>1.1201000000000001E-2</v>
      </c>
      <c r="D15" s="382">
        <f t="shared" si="1"/>
        <v>101.12010000000001</v>
      </c>
    </row>
    <row r="16" spans="1:7">
      <c r="A16" s="381">
        <v>2011</v>
      </c>
      <c r="B16" s="382">
        <v>1.9096200000000001</v>
      </c>
      <c r="C16" s="385">
        <f t="shared" si="0"/>
        <v>1.9096200000000001E-2</v>
      </c>
      <c r="D16" s="382">
        <f t="shared" si="1"/>
        <v>101.90961999999999</v>
      </c>
    </row>
    <row r="17" spans="1:4">
      <c r="A17" s="381">
        <v>2010</v>
      </c>
      <c r="B17" s="382">
        <v>1.7195800000000001</v>
      </c>
      <c r="C17" s="385">
        <f t="shared" si="0"/>
        <v>1.7195800000000001E-2</v>
      </c>
      <c r="D17" s="382">
        <f t="shared" si="1"/>
        <v>101.71958000000001</v>
      </c>
    </row>
    <row r="18" spans="1:4">
      <c r="A18" s="381">
        <v>2009</v>
      </c>
      <c r="B18" s="382">
        <v>1.9821299999999999</v>
      </c>
      <c r="C18" s="385">
        <f t="shared" si="0"/>
        <v>1.98213E-2</v>
      </c>
      <c r="D18" s="382">
        <f t="shared" si="1"/>
        <v>101.98213</v>
      </c>
    </row>
    <row r="19" spans="1:4">
      <c r="A19" s="381">
        <v>2008</v>
      </c>
      <c r="B19" s="382">
        <v>4.9800000000000004</v>
      </c>
      <c r="C19" s="385">
        <f t="shared" si="0"/>
        <v>4.9800000000000004E-2</v>
      </c>
      <c r="D19" s="382">
        <f t="shared" si="1"/>
        <v>104.98</v>
      </c>
    </row>
    <row r="21" spans="1:4">
      <c r="B21" t="s">
        <v>2823</v>
      </c>
      <c r="C21" s="20">
        <f>AVERAGE(C4:C13)</f>
        <v>2.4993979999999999E-2</v>
      </c>
      <c r="D21" s="385"/>
    </row>
  </sheetData>
  <mergeCells count="1">
    <mergeCell ref="B1:G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D51B-6208-4202-A5FD-D86BD874E1FA}">
  <sheetPr>
    <pageSetUpPr fitToPage="1"/>
  </sheetPr>
  <dimension ref="A1:S818"/>
  <sheetViews>
    <sheetView showGridLines="0" zoomScaleNormal="100" workbookViewId="0">
      <pane xSplit="1" ySplit="4" topLeftCell="B14" activePane="bottomRight" state="frozen"/>
      <selection pane="topRight" activeCell="F2" sqref="F2:F97"/>
      <selection pane="bottomLeft" activeCell="F2" sqref="F2:F97"/>
      <selection pane="bottomRight" activeCell="H20" sqref="H20"/>
    </sheetView>
  </sheetViews>
  <sheetFormatPr baseColWidth="10" defaultColWidth="11.453125" defaultRowHeight="14.5"/>
  <cols>
    <col min="2" max="2" width="14.453125" bestFit="1" customWidth="1"/>
    <col min="4" max="4" width="14.7265625" customWidth="1"/>
    <col min="5" max="5" width="12.26953125" customWidth="1"/>
    <col min="6" max="6" width="13.54296875" customWidth="1"/>
    <col min="7" max="7" width="12.26953125" customWidth="1"/>
    <col min="8" max="8" width="12.54296875" customWidth="1"/>
    <col min="11" max="11" width="12.81640625" style="206" customWidth="1"/>
    <col min="12" max="18" width="11.453125" style="206" customWidth="1"/>
    <col min="258" max="258" width="14.453125" bestFit="1" customWidth="1"/>
    <col min="260" max="260" width="14.7265625" customWidth="1"/>
    <col min="261" max="261" width="12.26953125" customWidth="1"/>
    <col min="262" max="262" width="13.54296875" customWidth="1"/>
    <col min="263" max="263" width="12.26953125" customWidth="1"/>
    <col min="264" max="264" width="12.54296875" customWidth="1"/>
    <col min="267" max="267" width="12.81640625" customWidth="1"/>
    <col min="268" max="274" width="11.453125" customWidth="1"/>
    <col min="514" max="514" width="14.453125" bestFit="1" customWidth="1"/>
    <col min="516" max="516" width="14.7265625" customWidth="1"/>
    <col min="517" max="517" width="12.26953125" customWidth="1"/>
    <col min="518" max="518" width="13.54296875" customWidth="1"/>
    <col min="519" max="519" width="12.26953125" customWidth="1"/>
    <col min="520" max="520" width="12.54296875" customWidth="1"/>
    <col min="523" max="523" width="12.81640625" customWidth="1"/>
    <col min="524" max="530" width="11.453125" customWidth="1"/>
    <col min="770" max="770" width="14.453125" bestFit="1" customWidth="1"/>
    <col min="772" max="772" width="14.7265625" customWidth="1"/>
    <col min="773" max="773" width="12.26953125" customWidth="1"/>
    <col min="774" max="774" width="13.54296875" customWidth="1"/>
    <col min="775" max="775" width="12.26953125" customWidth="1"/>
    <col min="776" max="776" width="12.54296875" customWidth="1"/>
    <col min="779" max="779" width="12.81640625" customWidth="1"/>
    <col min="780" max="786" width="11.453125" customWidth="1"/>
    <col min="1026" max="1026" width="14.453125" bestFit="1" customWidth="1"/>
    <col min="1028" max="1028" width="14.7265625" customWidth="1"/>
    <col min="1029" max="1029" width="12.26953125" customWidth="1"/>
    <col min="1030" max="1030" width="13.54296875" customWidth="1"/>
    <col min="1031" max="1031" width="12.26953125" customWidth="1"/>
    <col min="1032" max="1032" width="12.54296875" customWidth="1"/>
    <col min="1035" max="1035" width="12.81640625" customWidth="1"/>
    <col min="1036" max="1042" width="11.453125" customWidth="1"/>
    <col min="1282" max="1282" width="14.453125" bestFit="1" customWidth="1"/>
    <col min="1284" max="1284" width="14.7265625" customWidth="1"/>
    <col min="1285" max="1285" width="12.26953125" customWidth="1"/>
    <col min="1286" max="1286" width="13.54296875" customWidth="1"/>
    <col min="1287" max="1287" width="12.26953125" customWidth="1"/>
    <col min="1288" max="1288" width="12.54296875" customWidth="1"/>
    <col min="1291" max="1291" width="12.81640625" customWidth="1"/>
    <col min="1292" max="1298" width="11.453125" customWidth="1"/>
    <col min="1538" max="1538" width="14.453125" bestFit="1" customWidth="1"/>
    <col min="1540" max="1540" width="14.7265625" customWidth="1"/>
    <col min="1541" max="1541" width="12.26953125" customWidth="1"/>
    <col min="1542" max="1542" width="13.54296875" customWidth="1"/>
    <col min="1543" max="1543" width="12.26953125" customWidth="1"/>
    <col min="1544" max="1544" width="12.54296875" customWidth="1"/>
    <col min="1547" max="1547" width="12.81640625" customWidth="1"/>
    <col min="1548" max="1554" width="11.453125" customWidth="1"/>
    <col min="1794" max="1794" width="14.453125" bestFit="1" customWidth="1"/>
    <col min="1796" max="1796" width="14.7265625" customWidth="1"/>
    <col min="1797" max="1797" width="12.26953125" customWidth="1"/>
    <col min="1798" max="1798" width="13.54296875" customWidth="1"/>
    <col min="1799" max="1799" width="12.26953125" customWidth="1"/>
    <col min="1800" max="1800" width="12.54296875" customWidth="1"/>
    <col min="1803" max="1803" width="12.81640625" customWidth="1"/>
    <col min="1804" max="1810" width="11.453125" customWidth="1"/>
    <col min="2050" max="2050" width="14.453125" bestFit="1" customWidth="1"/>
    <col min="2052" max="2052" width="14.7265625" customWidth="1"/>
    <col min="2053" max="2053" width="12.26953125" customWidth="1"/>
    <col min="2054" max="2054" width="13.54296875" customWidth="1"/>
    <col min="2055" max="2055" width="12.26953125" customWidth="1"/>
    <col min="2056" max="2056" width="12.54296875" customWidth="1"/>
    <col min="2059" max="2059" width="12.81640625" customWidth="1"/>
    <col min="2060" max="2066" width="11.453125" customWidth="1"/>
    <col min="2306" max="2306" width="14.453125" bestFit="1" customWidth="1"/>
    <col min="2308" max="2308" width="14.7265625" customWidth="1"/>
    <col min="2309" max="2309" width="12.26953125" customWidth="1"/>
    <col min="2310" max="2310" width="13.54296875" customWidth="1"/>
    <col min="2311" max="2311" width="12.26953125" customWidth="1"/>
    <col min="2312" max="2312" width="12.54296875" customWidth="1"/>
    <col min="2315" max="2315" width="12.81640625" customWidth="1"/>
    <col min="2316" max="2322" width="11.453125" customWidth="1"/>
    <col min="2562" max="2562" width="14.453125" bestFit="1" customWidth="1"/>
    <col min="2564" max="2564" width="14.7265625" customWidth="1"/>
    <col min="2565" max="2565" width="12.26953125" customWidth="1"/>
    <col min="2566" max="2566" width="13.54296875" customWidth="1"/>
    <col min="2567" max="2567" width="12.26953125" customWidth="1"/>
    <col min="2568" max="2568" width="12.54296875" customWidth="1"/>
    <col min="2571" max="2571" width="12.81640625" customWidth="1"/>
    <col min="2572" max="2578" width="11.453125" customWidth="1"/>
    <col min="2818" max="2818" width="14.453125" bestFit="1" customWidth="1"/>
    <col min="2820" max="2820" width="14.7265625" customWidth="1"/>
    <col min="2821" max="2821" width="12.26953125" customWidth="1"/>
    <col min="2822" max="2822" width="13.54296875" customWidth="1"/>
    <col min="2823" max="2823" width="12.26953125" customWidth="1"/>
    <col min="2824" max="2824" width="12.54296875" customWidth="1"/>
    <col min="2827" max="2827" width="12.81640625" customWidth="1"/>
    <col min="2828" max="2834" width="11.453125" customWidth="1"/>
    <col min="3074" max="3074" width="14.453125" bestFit="1" customWidth="1"/>
    <col min="3076" max="3076" width="14.7265625" customWidth="1"/>
    <col min="3077" max="3077" width="12.26953125" customWidth="1"/>
    <col min="3078" max="3078" width="13.54296875" customWidth="1"/>
    <col min="3079" max="3079" width="12.26953125" customWidth="1"/>
    <col min="3080" max="3080" width="12.54296875" customWidth="1"/>
    <col min="3083" max="3083" width="12.81640625" customWidth="1"/>
    <col min="3084" max="3090" width="11.453125" customWidth="1"/>
    <col min="3330" max="3330" width="14.453125" bestFit="1" customWidth="1"/>
    <col min="3332" max="3332" width="14.7265625" customWidth="1"/>
    <col min="3333" max="3333" width="12.26953125" customWidth="1"/>
    <col min="3334" max="3334" width="13.54296875" customWidth="1"/>
    <col min="3335" max="3335" width="12.26953125" customWidth="1"/>
    <col min="3336" max="3336" width="12.54296875" customWidth="1"/>
    <col min="3339" max="3339" width="12.81640625" customWidth="1"/>
    <col min="3340" max="3346" width="11.453125" customWidth="1"/>
    <col min="3586" max="3586" width="14.453125" bestFit="1" customWidth="1"/>
    <col min="3588" max="3588" width="14.7265625" customWidth="1"/>
    <col min="3589" max="3589" width="12.26953125" customWidth="1"/>
    <col min="3590" max="3590" width="13.54296875" customWidth="1"/>
    <col min="3591" max="3591" width="12.26953125" customWidth="1"/>
    <col min="3592" max="3592" width="12.54296875" customWidth="1"/>
    <col min="3595" max="3595" width="12.81640625" customWidth="1"/>
    <col min="3596" max="3602" width="11.453125" customWidth="1"/>
    <col min="3842" max="3842" width="14.453125" bestFit="1" customWidth="1"/>
    <col min="3844" max="3844" width="14.7265625" customWidth="1"/>
    <col min="3845" max="3845" width="12.26953125" customWidth="1"/>
    <col min="3846" max="3846" width="13.54296875" customWidth="1"/>
    <col min="3847" max="3847" width="12.26953125" customWidth="1"/>
    <col min="3848" max="3848" width="12.54296875" customWidth="1"/>
    <col min="3851" max="3851" width="12.81640625" customWidth="1"/>
    <col min="3852" max="3858" width="11.453125" customWidth="1"/>
    <col min="4098" max="4098" width="14.453125" bestFit="1" customWidth="1"/>
    <col min="4100" max="4100" width="14.7265625" customWidth="1"/>
    <col min="4101" max="4101" width="12.26953125" customWidth="1"/>
    <col min="4102" max="4102" width="13.54296875" customWidth="1"/>
    <col min="4103" max="4103" width="12.26953125" customWidth="1"/>
    <col min="4104" max="4104" width="12.54296875" customWidth="1"/>
    <col min="4107" max="4107" width="12.81640625" customWidth="1"/>
    <col min="4108" max="4114" width="11.453125" customWidth="1"/>
    <col min="4354" max="4354" width="14.453125" bestFit="1" customWidth="1"/>
    <col min="4356" max="4356" width="14.7265625" customWidth="1"/>
    <col min="4357" max="4357" width="12.26953125" customWidth="1"/>
    <col min="4358" max="4358" width="13.54296875" customWidth="1"/>
    <col min="4359" max="4359" width="12.26953125" customWidth="1"/>
    <col min="4360" max="4360" width="12.54296875" customWidth="1"/>
    <col min="4363" max="4363" width="12.81640625" customWidth="1"/>
    <col min="4364" max="4370" width="11.453125" customWidth="1"/>
    <col min="4610" max="4610" width="14.453125" bestFit="1" customWidth="1"/>
    <col min="4612" max="4612" width="14.7265625" customWidth="1"/>
    <col min="4613" max="4613" width="12.26953125" customWidth="1"/>
    <col min="4614" max="4614" width="13.54296875" customWidth="1"/>
    <col min="4615" max="4615" width="12.26953125" customWidth="1"/>
    <col min="4616" max="4616" width="12.54296875" customWidth="1"/>
    <col min="4619" max="4619" width="12.81640625" customWidth="1"/>
    <col min="4620" max="4626" width="11.453125" customWidth="1"/>
    <col min="4866" max="4866" width="14.453125" bestFit="1" customWidth="1"/>
    <col min="4868" max="4868" width="14.7265625" customWidth="1"/>
    <col min="4869" max="4869" width="12.26953125" customWidth="1"/>
    <col min="4870" max="4870" width="13.54296875" customWidth="1"/>
    <col min="4871" max="4871" width="12.26953125" customWidth="1"/>
    <col min="4872" max="4872" width="12.54296875" customWidth="1"/>
    <col min="4875" max="4875" width="12.81640625" customWidth="1"/>
    <col min="4876" max="4882" width="11.453125" customWidth="1"/>
    <col min="5122" max="5122" width="14.453125" bestFit="1" customWidth="1"/>
    <col min="5124" max="5124" width="14.7265625" customWidth="1"/>
    <col min="5125" max="5125" width="12.26953125" customWidth="1"/>
    <col min="5126" max="5126" width="13.54296875" customWidth="1"/>
    <col min="5127" max="5127" width="12.26953125" customWidth="1"/>
    <col min="5128" max="5128" width="12.54296875" customWidth="1"/>
    <col min="5131" max="5131" width="12.81640625" customWidth="1"/>
    <col min="5132" max="5138" width="11.453125" customWidth="1"/>
    <col min="5378" max="5378" width="14.453125" bestFit="1" customWidth="1"/>
    <col min="5380" max="5380" width="14.7265625" customWidth="1"/>
    <col min="5381" max="5381" width="12.26953125" customWidth="1"/>
    <col min="5382" max="5382" width="13.54296875" customWidth="1"/>
    <col min="5383" max="5383" width="12.26953125" customWidth="1"/>
    <col min="5384" max="5384" width="12.54296875" customWidth="1"/>
    <col min="5387" max="5387" width="12.81640625" customWidth="1"/>
    <col min="5388" max="5394" width="11.453125" customWidth="1"/>
    <col min="5634" max="5634" width="14.453125" bestFit="1" customWidth="1"/>
    <col min="5636" max="5636" width="14.7265625" customWidth="1"/>
    <col min="5637" max="5637" width="12.26953125" customWidth="1"/>
    <col min="5638" max="5638" width="13.54296875" customWidth="1"/>
    <col min="5639" max="5639" width="12.26953125" customWidth="1"/>
    <col min="5640" max="5640" width="12.54296875" customWidth="1"/>
    <col min="5643" max="5643" width="12.81640625" customWidth="1"/>
    <col min="5644" max="5650" width="11.453125" customWidth="1"/>
    <col min="5890" max="5890" width="14.453125" bestFit="1" customWidth="1"/>
    <col min="5892" max="5892" width="14.7265625" customWidth="1"/>
    <col min="5893" max="5893" width="12.26953125" customWidth="1"/>
    <col min="5894" max="5894" width="13.54296875" customWidth="1"/>
    <col min="5895" max="5895" width="12.26953125" customWidth="1"/>
    <col min="5896" max="5896" width="12.54296875" customWidth="1"/>
    <col min="5899" max="5899" width="12.81640625" customWidth="1"/>
    <col min="5900" max="5906" width="11.453125" customWidth="1"/>
    <col min="6146" max="6146" width="14.453125" bestFit="1" customWidth="1"/>
    <col min="6148" max="6148" width="14.7265625" customWidth="1"/>
    <col min="6149" max="6149" width="12.26953125" customWidth="1"/>
    <col min="6150" max="6150" width="13.54296875" customWidth="1"/>
    <col min="6151" max="6151" width="12.26953125" customWidth="1"/>
    <col min="6152" max="6152" width="12.54296875" customWidth="1"/>
    <col min="6155" max="6155" width="12.81640625" customWidth="1"/>
    <col min="6156" max="6162" width="11.453125" customWidth="1"/>
    <col min="6402" max="6402" width="14.453125" bestFit="1" customWidth="1"/>
    <col min="6404" max="6404" width="14.7265625" customWidth="1"/>
    <col min="6405" max="6405" width="12.26953125" customWidth="1"/>
    <col min="6406" max="6406" width="13.54296875" customWidth="1"/>
    <col min="6407" max="6407" width="12.26953125" customWidth="1"/>
    <col min="6408" max="6408" width="12.54296875" customWidth="1"/>
    <col min="6411" max="6411" width="12.81640625" customWidth="1"/>
    <col min="6412" max="6418" width="11.453125" customWidth="1"/>
    <col min="6658" max="6658" width="14.453125" bestFit="1" customWidth="1"/>
    <col min="6660" max="6660" width="14.7265625" customWidth="1"/>
    <col min="6661" max="6661" width="12.26953125" customWidth="1"/>
    <col min="6662" max="6662" width="13.54296875" customWidth="1"/>
    <col min="6663" max="6663" width="12.26953125" customWidth="1"/>
    <col min="6664" max="6664" width="12.54296875" customWidth="1"/>
    <col min="6667" max="6667" width="12.81640625" customWidth="1"/>
    <col min="6668" max="6674" width="11.453125" customWidth="1"/>
    <col min="6914" max="6914" width="14.453125" bestFit="1" customWidth="1"/>
    <col min="6916" max="6916" width="14.7265625" customWidth="1"/>
    <col min="6917" max="6917" width="12.26953125" customWidth="1"/>
    <col min="6918" max="6918" width="13.54296875" customWidth="1"/>
    <col min="6919" max="6919" width="12.26953125" customWidth="1"/>
    <col min="6920" max="6920" width="12.54296875" customWidth="1"/>
    <col min="6923" max="6923" width="12.81640625" customWidth="1"/>
    <col min="6924" max="6930" width="11.453125" customWidth="1"/>
    <col min="7170" max="7170" width="14.453125" bestFit="1" customWidth="1"/>
    <col min="7172" max="7172" width="14.7265625" customWidth="1"/>
    <col min="7173" max="7173" width="12.26953125" customWidth="1"/>
    <col min="7174" max="7174" width="13.54296875" customWidth="1"/>
    <col min="7175" max="7175" width="12.26953125" customWidth="1"/>
    <col min="7176" max="7176" width="12.54296875" customWidth="1"/>
    <col min="7179" max="7179" width="12.81640625" customWidth="1"/>
    <col min="7180" max="7186" width="11.453125" customWidth="1"/>
    <col min="7426" max="7426" width="14.453125" bestFit="1" customWidth="1"/>
    <col min="7428" max="7428" width="14.7265625" customWidth="1"/>
    <col min="7429" max="7429" width="12.26953125" customWidth="1"/>
    <col min="7430" max="7430" width="13.54296875" customWidth="1"/>
    <col min="7431" max="7431" width="12.26953125" customWidth="1"/>
    <col min="7432" max="7432" width="12.54296875" customWidth="1"/>
    <col min="7435" max="7435" width="12.81640625" customWidth="1"/>
    <col min="7436" max="7442" width="11.453125" customWidth="1"/>
    <col min="7682" max="7682" width="14.453125" bestFit="1" customWidth="1"/>
    <col min="7684" max="7684" width="14.7265625" customWidth="1"/>
    <col min="7685" max="7685" width="12.26953125" customWidth="1"/>
    <col min="7686" max="7686" width="13.54296875" customWidth="1"/>
    <col min="7687" max="7687" width="12.26953125" customWidth="1"/>
    <col min="7688" max="7688" width="12.54296875" customWidth="1"/>
    <col min="7691" max="7691" width="12.81640625" customWidth="1"/>
    <col min="7692" max="7698" width="11.453125" customWidth="1"/>
    <col min="7938" max="7938" width="14.453125" bestFit="1" customWidth="1"/>
    <col min="7940" max="7940" width="14.7265625" customWidth="1"/>
    <col min="7941" max="7941" width="12.26953125" customWidth="1"/>
    <col min="7942" max="7942" width="13.54296875" customWidth="1"/>
    <col min="7943" max="7943" width="12.26953125" customWidth="1"/>
    <col min="7944" max="7944" width="12.54296875" customWidth="1"/>
    <col min="7947" max="7947" width="12.81640625" customWidth="1"/>
    <col min="7948" max="7954" width="11.453125" customWidth="1"/>
    <col min="8194" max="8194" width="14.453125" bestFit="1" customWidth="1"/>
    <col min="8196" max="8196" width="14.7265625" customWidth="1"/>
    <col min="8197" max="8197" width="12.26953125" customWidth="1"/>
    <col min="8198" max="8198" width="13.54296875" customWidth="1"/>
    <col min="8199" max="8199" width="12.26953125" customWidth="1"/>
    <col min="8200" max="8200" width="12.54296875" customWidth="1"/>
    <col min="8203" max="8203" width="12.81640625" customWidth="1"/>
    <col min="8204" max="8210" width="11.453125" customWidth="1"/>
    <col min="8450" max="8450" width="14.453125" bestFit="1" customWidth="1"/>
    <col min="8452" max="8452" width="14.7265625" customWidth="1"/>
    <col min="8453" max="8453" width="12.26953125" customWidth="1"/>
    <col min="8454" max="8454" width="13.54296875" customWidth="1"/>
    <col min="8455" max="8455" width="12.26953125" customWidth="1"/>
    <col min="8456" max="8456" width="12.54296875" customWidth="1"/>
    <col min="8459" max="8459" width="12.81640625" customWidth="1"/>
    <col min="8460" max="8466" width="11.453125" customWidth="1"/>
    <col min="8706" max="8706" width="14.453125" bestFit="1" customWidth="1"/>
    <col min="8708" max="8708" width="14.7265625" customWidth="1"/>
    <col min="8709" max="8709" width="12.26953125" customWidth="1"/>
    <col min="8710" max="8710" width="13.54296875" customWidth="1"/>
    <col min="8711" max="8711" width="12.26953125" customWidth="1"/>
    <col min="8712" max="8712" width="12.54296875" customWidth="1"/>
    <col min="8715" max="8715" width="12.81640625" customWidth="1"/>
    <col min="8716" max="8722" width="11.453125" customWidth="1"/>
    <col min="8962" max="8962" width="14.453125" bestFit="1" customWidth="1"/>
    <col min="8964" max="8964" width="14.7265625" customWidth="1"/>
    <col min="8965" max="8965" width="12.26953125" customWidth="1"/>
    <col min="8966" max="8966" width="13.54296875" customWidth="1"/>
    <col min="8967" max="8967" width="12.26953125" customWidth="1"/>
    <col min="8968" max="8968" width="12.54296875" customWidth="1"/>
    <col min="8971" max="8971" width="12.81640625" customWidth="1"/>
    <col min="8972" max="8978" width="11.453125" customWidth="1"/>
    <col min="9218" max="9218" width="14.453125" bestFit="1" customWidth="1"/>
    <col min="9220" max="9220" width="14.7265625" customWidth="1"/>
    <col min="9221" max="9221" width="12.26953125" customWidth="1"/>
    <col min="9222" max="9222" width="13.54296875" customWidth="1"/>
    <col min="9223" max="9223" width="12.26953125" customWidth="1"/>
    <col min="9224" max="9224" width="12.54296875" customWidth="1"/>
    <col min="9227" max="9227" width="12.81640625" customWidth="1"/>
    <col min="9228" max="9234" width="11.453125" customWidth="1"/>
    <col min="9474" max="9474" width="14.453125" bestFit="1" customWidth="1"/>
    <col min="9476" max="9476" width="14.7265625" customWidth="1"/>
    <col min="9477" max="9477" width="12.26953125" customWidth="1"/>
    <col min="9478" max="9478" width="13.54296875" customWidth="1"/>
    <col min="9479" max="9479" width="12.26953125" customWidth="1"/>
    <col min="9480" max="9480" width="12.54296875" customWidth="1"/>
    <col min="9483" max="9483" width="12.81640625" customWidth="1"/>
    <col min="9484" max="9490" width="11.453125" customWidth="1"/>
    <col min="9730" max="9730" width="14.453125" bestFit="1" customWidth="1"/>
    <col min="9732" max="9732" width="14.7265625" customWidth="1"/>
    <col min="9733" max="9733" width="12.26953125" customWidth="1"/>
    <col min="9734" max="9734" width="13.54296875" customWidth="1"/>
    <col min="9735" max="9735" width="12.26953125" customWidth="1"/>
    <col min="9736" max="9736" width="12.54296875" customWidth="1"/>
    <col min="9739" max="9739" width="12.81640625" customWidth="1"/>
    <col min="9740" max="9746" width="11.453125" customWidth="1"/>
    <col min="9986" max="9986" width="14.453125" bestFit="1" customWidth="1"/>
    <col min="9988" max="9988" width="14.7265625" customWidth="1"/>
    <col min="9989" max="9989" width="12.26953125" customWidth="1"/>
    <col min="9990" max="9990" width="13.54296875" customWidth="1"/>
    <col min="9991" max="9991" width="12.26953125" customWidth="1"/>
    <col min="9992" max="9992" width="12.54296875" customWidth="1"/>
    <col min="9995" max="9995" width="12.81640625" customWidth="1"/>
    <col min="9996" max="10002" width="11.453125" customWidth="1"/>
    <col min="10242" max="10242" width="14.453125" bestFit="1" customWidth="1"/>
    <col min="10244" max="10244" width="14.7265625" customWidth="1"/>
    <col min="10245" max="10245" width="12.26953125" customWidth="1"/>
    <col min="10246" max="10246" width="13.54296875" customWidth="1"/>
    <col min="10247" max="10247" width="12.26953125" customWidth="1"/>
    <col min="10248" max="10248" width="12.54296875" customWidth="1"/>
    <col min="10251" max="10251" width="12.81640625" customWidth="1"/>
    <col min="10252" max="10258" width="11.453125" customWidth="1"/>
    <col min="10498" max="10498" width="14.453125" bestFit="1" customWidth="1"/>
    <col min="10500" max="10500" width="14.7265625" customWidth="1"/>
    <col min="10501" max="10501" width="12.26953125" customWidth="1"/>
    <col min="10502" max="10502" width="13.54296875" customWidth="1"/>
    <col min="10503" max="10503" width="12.26953125" customWidth="1"/>
    <col min="10504" max="10504" width="12.54296875" customWidth="1"/>
    <col min="10507" max="10507" width="12.81640625" customWidth="1"/>
    <col min="10508" max="10514" width="11.453125" customWidth="1"/>
    <col min="10754" max="10754" width="14.453125" bestFit="1" customWidth="1"/>
    <col min="10756" max="10756" width="14.7265625" customWidth="1"/>
    <col min="10757" max="10757" width="12.26953125" customWidth="1"/>
    <col min="10758" max="10758" width="13.54296875" customWidth="1"/>
    <col min="10759" max="10759" width="12.26953125" customWidth="1"/>
    <col min="10760" max="10760" width="12.54296875" customWidth="1"/>
    <col min="10763" max="10763" width="12.81640625" customWidth="1"/>
    <col min="10764" max="10770" width="11.453125" customWidth="1"/>
    <col min="11010" max="11010" width="14.453125" bestFit="1" customWidth="1"/>
    <col min="11012" max="11012" width="14.7265625" customWidth="1"/>
    <col min="11013" max="11013" width="12.26953125" customWidth="1"/>
    <col min="11014" max="11014" width="13.54296875" customWidth="1"/>
    <col min="11015" max="11015" width="12.26953125" customWidth="1"/>
    <col min="11016" max="11016" width="12.54296875" customWidth="1"/>
    <col min="11019" max="11019" width="12.81640625" customWidth="1"/>
    <col min="11020" max="11026" width="11.453125" customWidth="1"/>
    <col min="11266" max="11266" width="14.453125" bestFit="1" customWidth="1"/>
    <col min="11268" max="11268" width="14.7265625" customWidth="1"/>
    <col min="11269" max="11269" width="12.26953125" customWidth="1"/>
    <col min="11270" max="11270" width="13.54296875" customWidth="1"/>
    <col min="11271" max="11271" width="12.26953125" customWidth="1"/>
    <col min="11272" max="11272" width="12.54296875" customWidth="1"/>
    <col min="11275" max="11275" width="12.81640625" customWidth="1"/>
    <col min="11276" max="11282" width="11.453125" customWidth="1"/>
    <col min="11522" max="11522" width="14.453125" bestFit="1" customWidth="1"/>
    <col min="11524" max="11524" width="14.7265625" customWidth="1"/>
    <col min="11525" max="11525" width="12.26953125" customWidth="1"/>
    <col min="11526" max="11526" width="13.54296875" customWidth="1"/>
    <col min="11527" max="11527" width="12.26953125" customWidth="1"/>
    <col min="11528" max="11528" width="12.54296875" customWidth="1"/>
    <col min="11531" max="11531" width="12.81640625" customWidth="1"/>
    <col min="11532" max="11538" width="11.453125" customWidth="1"/>
    <col min="11778" max="11778" width="14.453125" bestFit="1" customWidth="1"/>
    <col min="11780" max="11780" width="14.7265625" customWidth="1"/>
    <col min="11781" max="11781" width="12.26953125" customWidth="1"/>
    <col min="11782" max="11782" width="13.54296875" customWidth="1"/>
    <col min="11783" max="11783" width="12.26953125" customWidth="1"/>
    <col min="11784" max="11784" width="12.54296875" customWidth="1"/>
    <col min="11787" max="11787" width="12.81640625" customWidth="1"/>
    <col min="11788" max="11794" width="11.453125" customWidth="1"/>
    <col min="12034" max="12034" width="14.453125" bestFit="1" customWidth="1"/>
    <col min="12036" max="12036" width="14.7265625" customWidth="1"/>
    <col min="12037" max="12037" width="12.26953125" customWidth="1"/>
    <col min="12038" max="12038" width="13.54296875" customWidth="1"/>
    <col min="12039" max="12039" width="12.26953125" customWidth="1"/>
    <col min="12040" max="12040" width="12.54296875" customWidth="1"/>
    <col min="12043" max="12043" width="12.81640625" customWidth="1"/>
    <col min="12044" max="12050" width="11.453125" customWidth="1"/>
    <col min="12290" max="12290" width="14.453125" bestFit="1" customWidth="1"/>
    <col min="12292" max="12292" width="14.7265625" customWidth="1"/>
    <col min="12293" max="12293" width="12.26953125" customWidth="1"/>
    <col min="12294" max="12294" width="13.54296875" customWidth="1"/>
    <col min="12295" max="12295" width="12.26953125" customWidth="1"/>
    <col min="12296" max="12296" width="12.54296875" customWidth="1"/>
    <col min="12299" max="12299" width="12.81640625" customWidth="1"/>
    <col min="12300" max="12306" width="11.453125" customWidth="1"/>
    <col min="12546" max="12546" width="14.453125" bestFit="1" customWidth="1"/>
    <col min="12548" max="12548" width="14.7265625" customWidth="1"/>
    <col min="12549" max="12549" width="12.26953125" customWidth="1"/>
    <col min="12550" max="12550" width="13.54296875" customWidth="1"/>
    <col min="12551" max="12551" width="12.26953125" customWidth="1"/>
    <col min="12552" max="12552" width="12.54296875" customWidth="1"/>
    <col min="12555" max="12555" width="12.81640625" customWidth="1"/>
    <col min="12556" max="12562" width="11.453125" customWidth="1"/>
    <col min="12802" max="12802" width="14.453125" bestFit="1" customWidth="1"/>
    <col min="12804" max="12804" width="14.7265625" customWidth="1"/>
    <col min="12805" max="12805" width="12.26953125" customWidth="1"/>
    <col min="12806" max="12806" width="13.54296875" customWidth="1"/>
    <col min="12807" max="12807" width="12.26953125" customWidth="1"/>
    <col min="12808" max="12808" width="12.54296875" customWidth="1"/>
    <col min="12811" max="12811" width="12.81640625" customWidth="1"/>
    <col min="12812" max="12818" width="11.453125" customWidth="1"/>
    <col min="13058" max="13058" width="14.453125" bestFit="1" customWidth="1"/>
    <col min="13060" max="13060" width="14.7265625" customWidth="1"/>
    <col min="13061" max="13061" width="12.26953125" customWidth="1"/>
    <col min="13062" max="13062" width="13.54296875" customWidth="1"/>
    <col min="13063" max="13063" width="12.26953125" customWidth="1"/>
    <col min="13064" max="13064" width="12.54296875" customWidth="1"/>
    <col min="13067" max="13067" width="12.81640625" customWidth="1"/>
    <col min="13068" max="13074" width="11.453125" customWidth="1"/>
    <col min="13314" max="13314" width="14.453125" bestFit="1" customWidth="1"/>
    <col min="13316" max="13316" width="14.7265625" customWidth="1"/>
    <col min="13317" max="13317" width="12.26953125" customWidth="1"/>
    <col min="13318" max="13318" width="13.54296875" customWidth="1"/>
    <col min="13319" max="13319" width="12.26953125" customWidth="1"/>
    <col min="13320" max="13320" width="12.54296875" customWidth="1"/>
    <col min="13323" max="13323" width="12.81640625" customWidth="1"/>
    <col min="13324" max="13330" width="11.453125" customWidth="1"/>
    <col min="13570" max="13570" width="14.453125" bestFit="1" customWidth="1"/>
    <col min="13572" max="13572" width="14.7265625" customWidth="1"/>
    <col min="13573" max="13573" width="12.26953125" customWidth="1"/>
    <col min="13574" max="13574" width="13.54296875" customWidth="1"/>
    <col min="13575" max="13575" width="12.26953125" customWidth="1"/>
    <col min="13576" max="13576" width="12.54296875" customWidth="1"/>
    <col min="13579" max="13579" width="12.81640625" customWidth="1"/>
    <col min="13580" max="13586" width="11.453125" customWidth="1"/>
    <col min="13826" max="13826" width="14.453125" bestFit="1" customWidth="1"/>
    <col min="13828" max="13828" width="14.7265625" customWidth="1"/>
    <col min="13829" max="13829" width="12.26953125" customWidth="1"/>
    <col min="13830" max="13830" width="13.54296875" customWidth="1"/>
    <col min="13831" max="13831" width="12.26953125" customWidth="1"/>
    <col min="13832" max="13832" width="12.54296875" customWidth="1"/>
    <col min="13835" max="13835" width="12.81640625" customWidth="1"/>
    <col min="13836" max="13842" width="11.453125" customWidth="1"/>
    <col min="14082" max="14082" width="14.453125" bestFit="1" customWidth="1"/>
    <col min="14084" max="14084" width="14.7265625" customWidth="1"/>
    <col min="14085" max="14085" width="12.26953125" customWidth="1"/>
    <col min="14086" max="14086" width="13.54296875" customWidth="1"/>
    <col min="14087" max="14087" width="12.26953125" customWidth="1"/>
    <col min="14088" max="14088" width="12.54296875" customWidth="1"/>
    <col min="14091" max="14091" width="12.81640625" customWidth="1"/>
    <col min="14092" max="14098" width="11.453125" customWidth="1"/>
    <col min="14338" max="14338" width="14.453125" bestFit="1" customWidth="1"/>
    <col min="14340" max="14340" width="14.7265625" customWidth="1"/>
    <col min="14341" max="14341" width="12.26953125" customWidth="1"/>
    <col min="14342" max="14342" width="13.54296875" customWidth="1"/>
    <col min="14343" max="14343" width="12.26953125" customWidth="1"/>
    <col min="14344" max="14344" width="12.54296875" customWidth="1"/>
    <col min="14347" max="14347" width="12.81640625" customWidth="1"/>
    <col min="14348" max="14354" width="11.453125" customWidth="1"/>
    <col min="14594" max="14594" width="14.453125" bestFit="1" customWidth="1"/>
    <col min="14596" max="14596" width="14.7265625" customWidth="1"/>
    <col min="14597" max="14597" width="12.26953125" customWidth="1"/>
    <col min="14598" max="14598" width="13.54296875" customWidth="1"/>
    <col min="14599" max="14599" width="12.26953125" customWidth="1"/>
    <col min="14600" max="14600" width="12.54296875" customWidth="1"/>
    <col min="14603" max="14603" width="12.81640625" customWidth="1"/>
    <col min="14604" max="14610" width="11.453125" customWidth="1"/>
    <col min="14850" max="14850" width="14.453125" bestFit="1" customWidth="1"/>
    <col min="14852" max="14852" width="14.7265625" customWidth="1"/>
    <col min="14853" max="14853" width="12.26953125" customWidth="1"/>
    <col min="14854" max="14854" width="13.54296875" customWidth="1"/>
    <col min="14855" max="14855" width="12.26953125" customWidth="1"/>
    <col min="14856" max="14856" width="12.54296875" customWidth="1"/>
    <col min="14859" max="14859" width="12.81640625" customWidth="1"/>
    <col min="14860" max="14866" width="11.453125" customWidth="1"/>
    <col min="15106" max="15106" width="14.453125" bestFit="1" customWidth="1"/>
    <col min="15108" max="15108" width="14.7265625" customWidth="1"/>
    <col min="15109" max="15109" width="12.26953125" customWidth="1"/>
    <col min="15110" max="15110" width="13.54296875" customWidth="1"/>
    <col min="15111" max="15111" width="12.26953125" customWidth="1"/>
    <col min="15112" max="15112" width="12.54296875" customWidth="1"/>
    <col min="15115" max="15115" width="12.81640625" customWidth="1"/>
    <col min="15116" max="15122" width="11.453125" customWidth="1"/>
    <col min="15362" max="15362" width="14.453125" bestFit="1" customWidth="1"/>
    <col min="15364" max="15364" width="14.7265625" customWidth="1"/>
    <col min="15365" max="15365" width="12.26953125" customWidth="1"/>
    <col min="15366" max="15366" width="13.54296875" customWidth="1"/>
    <col min="15367" max="15367" width="12.26953125" customWidth="1"/>
    <col min="15368" max="15368" width="12.54296875" customWidth="1"/>
    <col min="15371" max="15371" width="12.81640625" customWidth="1"/>
    <col min="15372" max="15378" width="11.453125" customWidth="1"/>
    <col min="15618" max="15618" width="14.453125" bestFit="1" customWidth="1"/>
    <col min="15620" max="15620" width="14.7265625" customWidth="1"/>
    <col min="15621" max="15621" width="12.26953125" customWidth="1"/>
    <col min="15622" max="15622" width="13.54296875" customWidth="1"/>
    <col min="15623" max="15623" width="12.26953125" customWidth="1"/>
    <col min="15624" max="15624" width="12.54296875" customWidth="1"/>
    <col min="15627" max="15627" width="12.81640625" customWidth="1"/>
    <col min="15628" max="15634" width="11.453125" customWidth="1"/>
    <col min="15874" max="15874" width="14.453125" bestFit="1" customWidth="1"/>
    <col min="15876" max="15876" width="14.7265625" customWidth="1"/>
    <col min="15877" max="15877" width="12.26953125" customWidth="1"/>
    <col min="15878" max="15878" width="13.54296875" customWidth="1"/>
    <col min="15879" max="15879" width="12.26953125" customWidth="1"/>
    <col min="15880" max="15880" width="12.54296875" customWidth="1"/>
    <col min="15883" max="15883" width="12.81640625" customWidth="1"/>
    <col min="15884" max="15890" width="11.453125" customWidth="1"/>
    <col min="16130" max="16130" width="14.453125" bestFit="1" customWidth="1"/>
    <col min="16132" max="16132" width="14.7265625" customWidth="1"/>
    <col min="16133" max="16133" width="12.26953125" customWidth="1"/>
    <col min="16134" max="16134" width="13.54296875" customWidth="1"/>
    <col min="16135" max="16135" width="12.26953125" customWidth="1"/>
    <col min="16136" max="16136" width="12.54296875" customWidth="1"/>
    <col min="16139" max="16139" width="12.81640625" customWidth="1"/>
    <col min="16140" max="16146" width="11.453125" customWidth="1"/>
  </cols>
  <sheetData>
    <row r="1" spans="1:19" ht="18">
      <c r="A1" s="204" t="s">
        <v>3332</v>
      </c>
      <c r="B1" s="205"/>
      <c r="C1" s="205"/>
      <c r="D1" s="205"/>
      <c r="E1" s="205"/>
      <c r="F1" s="205"/>
      <c r="G1" s="205"/>
      <c r="H1" s="205"/>
    </row>
    <row r="2" spans="1:19">
      <c r="F2" s="206" t="s">
        <v>4051</v>
      </c>
    </row>
    <row r="3" spans="1:19" ht="21.75" customHeight="1">
      <c r="A3" s="207"/>
      <c r="B3" s="898" t="s">
        <v>3334</v>
      </c>
      <c r="C3" s="898"/>
      <c r="D3" s="898"/>
      <c r="E3" s="899"/>
      <c r="F3" s="898" t="s">
        <v>3335</v>
      </c>
      <c r="G3" s="898"/>
      <c r="H3" s="899"/>
    </row>
    <row r="4" spans="1:19" ht="46.5" customHeight="1">
      <c r="A4" s="208" t="s">
        <v>3336</v>
      </c>
      <c r="B4" s="209" t="s">
        <v>3337</v>
      </c>
      <c r="C4" s="209" t="s">
        <v>3338</v>
      </c>
      <c r="D4" s="209" t="s">
        <v>3339</v>
      </c>
      <c r="E4" s="209" t="s">
        <v>3340</v>
      </c>
      <c r="F4" s="210" t="s">
        <v>3341</v>
      </c>
      <c r="G4" s="209" t="s">
        <v>3342</v>
      </c>
      <c r="H4" s="211" t="s">
        <v>3343</v>
      </c>
    </row>
    <row r="5" spans="1:19">
      <c r="A5" s="212">
        <v>2000</v>
      </c>
      <c r="B5" s="213">
        <v>10</v>
      </c>
      <c r="C5" s="213">
        <v>8.7482000000000006</v>
      </c>
      <c r="D5" s="213">
        <v>8.9193178188235578</v>
      </c>
      <c r="E5" s="214">
        <v>11.041018070891774</v>
      </c>
      <c r="F5" s="215">
        <v>2229.1799999999998</v>
      </c>
      <c r="G5" s="213">
        <v>18.97</v>
      </c>
      <c r="H5" s="214">
        <v>6.7433761143672388</v>
      </c>
      <c r="K5" s="216"/>
      <c r="L5" s="1"/>
      <c r="M5" s="1"/>
      <c r="N5" s="1"/>
      <c r="O5" s="1"/>
      <c r="P5" s="1"/>
      <c r="Q5" s="1"/>
      <c r="R5" s="1"/>
    </row>
    <row r="6" spans="1:19">
      <c r="A6" s="217">
        <v>2001</v>
      </c>
      <c r="B6" s="213">
        <v>8</v>
      </c>
      <c r="C6" s="213">
        <v>7.6463999999999999</v>
      </c>
      <c r="D6" s="213">
        <v>6.4776128038695147</v>
      </c>
      <c r="E6" s="214">
        <v>6.9303445306099443</v>
      </c>
      <c r="F6" s="218">
        <v>2291.1799999999998</v>
      </c>
      <c r="G6" s="219">
        <v>2.78</v>
      </c>
      <c r="H6" s="220">
        <v>-5.1118647256961918</v>
      </c>
      <c r="L6" s="1"/>
      <c r="M6" s="1"/>
      <c r="N6" s="1"/>
      <c r="O6" s="1"/>
      <c r="P6" s="1"/>
      <c r="Q6" s="1"/>
      <c r="R6" s="1"/>
    </row>
    <row r="7" spans="1:19">
      <c r="A7" s="217">
        <v>2002</v>
      </c>
      <c r="B7" s="213">
        <v>6</v>
      </c>
      <c r="C7" s="213">
        <v>6.9927999999999999</v>
      </c>
      <c r="D7" s="213">
        <v>5.4151975791602025</v>
      </c>
      <c r="E7" s="214">
        <v>9.2752891611776356</v>
      </c>
      <c r="F7" s="218">
        <v>2864.79</v>
      </c>
      <c r="G7" s="219">
        <v>25.04</v>
      </c>
      <c r="H7" s="220">
        <v>13.765768927052102</v>
      </c>
      <c r="L7" s="1"/>
      <c r="M7" s="1"/>
      <c r="N7" s="1"/>
      <c r="O7" s="1"/>
      <c r="P7" s="1"/>
      <c r="Q7" s="1"/>
      <c r="R7" s="1"/>
    </row>
    <row r="8" spans="1:19">
      <c r="A8" s="217">
        <v>2003</v>
      </c>
      <c r="B8" s="213">
        <v>5.5</v>
      </c>
      <c r="C8" s="213">
        <v>6.4905999999999997</v>
      </c>
      <c r="D8" s="213">
        <v>6.9777918391605409</v>
      </c>
      <c r="E8" s="214">
        <v>5.7248640328400047</v>
      </c>
      <c r="F8" s="218">
        <v>2778.21</v>
      </c>
      <c r="G8" s="219">
        <v>-3.02</v>
      </c>
      <c r="H8" s="220">
        <v>4.305516487685801</v>
      </c>
      <c r="J8" s="1"/>
      <c r="K8" s="1"/>
      <c r="L8" s="1"/>
      <c r="M8" s="1"/>
      <c r="N8" s="1"/>
      <c r="O8" s="1"/>
      <c r="P8" s="1"/>
      <c r="Q8" s="1"/>
      <c r="R8" s="1"/>
      <c r="S8" s="1"/>
    </row>
    <row r="9" spans="1:19">
      <c r="A9" s="217">
        <v>2004</v>
      </c>
      <c r="B9" s="213">
        <v>5.5</v>
      </c>
      <c r="C9" s="213">
        <v>5.4974999999999996</v>
      </c>
      <c r="D9" s="213">
        <v>5.4766342459183548</v>
      </c>
      <c r="E9" s="214">
        <v>4.644011583295149</v>
      </c>
      <c r="F9" s="218">
        <v>2389.75</v>
      </c>
      <c r="G9" s="219">
        <v>-13.98</v>
      </c>
      <c r="H9" s="220">
        <v>-10.897975228678936</v>
      </c>
      <c r="J9" s="1"/>
      <c r="K9" s="1"/>
      <c r="L9" s="1"/>
      <c r="M9" s="1"/>
      <c r="N9" s="1"/>
      <c r="O9" s="1"/>
      <c r="P9" s="1"/>
      <c r="Q9" s="1"/>
      <c r="R9" s="1"/>
      <c r="S9" s="1"/>
    </row>
    <row r="10" spans="1:19">
      <c r="A10" s="217">
        <v>2005</v>
      </c>
      <c r="B10" s="213">
        <v>5</v>
      </c>
      <c r="C10" s="213">
        <v>4.8548999999999998</v>
      </c>
      <c r="D10" s="213">
        <v>4.2282559892282912</v>
      </c>
      <c r="E10" s="214">
        <v>2.0649432636609122</v>
      </c>
      <c r="F10" s="218">
        <v>2284.2199999999998</v>
      </c>
      <c r="G10" s="219">
        <v>-4.42</v>
      </c>
      <c r="H10" s="220">
        <v>-2.5000833516288345</v>
      </c>
      <c r="J10" s="1"/>
      <c r="K10" s="1"/>
      <c r="L10" s="1"/>
      <c r="M10" s="1"/>
      <c r="N10" s="1"/>
      <c r="O10" s="1"/>
      <c r="P10" s="1"/>
      <c r="Q10" s="1"/>
      <c r="R10" s="1"/>
      <c r="S10" s="1"/>
    </row>
    <row r="11" spans="1:19">
      <c r="A11" s="217">
        <v>2006</v>
      </c>
      <c r="B11" s="213">
        <v>4.5</v>
      </c>
      <c r="C11" s="213">
        <v>4.4779</v>
      </c>
      <c r="D11" s="213">
        <v>4.0965947101498923</v>
      </c>
      <c r="E11" s="214">
        <v>5.5438957831652091</v>
      </c>
      <c r="F11" s="218">
        <v>2238.79</v>
      </c>
      <c r="G11" s="219">
        <v>-1.99</v>
      </c>
      <c r="H11" s="220">
        <v>0.12316086691284145</v>
      </c>
      <c r="J11" s="1"/>
      <c r="K11" s="1"/>
      <c r="L11" s="1"/>
      <c r="M11" s="1"/>
      <c r="N11" s="1"/>
      <c r="O11" s="1"/>
      <c r="P11" s="1"/>
      <c r="Q11" s="1"/>
      <c r="R11" s="1"/>
      <c r="S11" s="1"/>
    </row>
    <row r="12" spans="1:19">
      <c r="A12" s="217">
        <v>2007</v>
      </c>
      <c r="B12" s="213">
        <v>4</v>
      </c>
      <c r="C12" s="213">
        <v>5.6940999999999997</v>
      </c>
      <c r="D12" s="213">
        <v>4.657498758527856</v>
      </c>
      <c r="E12" s="214">
        <v>1.2699999999999934</v>
      </c>
      <c r="F12" s="218">
        <v>2014.76</v>
      </c>
      <c r="G12" s="219">
        <v>-10.01</v>
      </c>
      <c r="H12" s="220">
        <v>-0.65817949039232992</v>
      </c>
      <c r="J12" s="1"/>
      <c r="K12" s="1"/>
      <c r="L12" s="1"/>
      <c r="M12" s="1"/>
      <c r="N12" s="1"/>
      <c r="O12" s="1"/>
      <c r="P12" s="1"/>
      <c r="Q12" s="1"/>
      <c r="R12" s="1"/>
      <c r="S12" s="1"/>
    </row>
    <row r="13" spans="1:19">
      <c r="A13" s="217">
        <v>2008</v>
      </c>
      <c r="B13" s="213">
        <v>4</v>
      </c>
      <c r="C13" s="213">
        <v>7.6748000000000003</v>
      </c>
      <c r="D13" s="213">
        <v>5.3543859777604341</v>
      </c>
      <c r="E13" s="214">
        <v>8.9957539251505523</v>
      </c>
      <c r="F13" s="218">
        <v>2243.59</v>
      </c>
      <c r="G13" s="219">
        <v>11.36</v>
      </c>
      <c r="H13" s="220">
        <v>-2.7370852012497449</v>
      </c>
      <c r="J13" s="1"/>
      <c r="K13" s="1"/>
      <c r="L13" s="1"/>
      <c r="M13" s="1"/>
      <c r="N13" s="1"/>
      <c r="O13" s="1"/>
      <c r="P13" s="1"/>
      <c r="Q13" s="1"/>
      <c r="R13" s="1"/>
      <c r="S13" s="1"/>
    </row>
    <row r="14" spans="1:19">
      <c r="A14" s="217">
        <v>2009</v>
      </c>
      <c r="B14" s="213">
        <v>5</v>
      </c>
      <c r="C14" s="213">
        <v>2.001808</v>
      </c>
      <c r="D14" s="213">
        <v>3.0916712699840421</v>
      </c>
      <c r="E14" s="214">
        <v>-2.1833665519115697</v>
      </c>
      <c r="F14" s="218">
        <v>2044.23</v>
      </c>
      <c r="G14" s="219">
        <v>-8.89</v>
      </c>
      <c r="H14" s="220">
        <v>-2.7466610375000977</v>
      </c>
      <c r="J14" s="1"/>
      <c r="K14" s="1"/>
      <c r="L14" s="1"/>
      <c r="M14" s="1"/>
      <c r="N14" s="1"/>
      <c r="O14" s="1"/>
      <c r="P14" s="1"/>
      <c r="Q14" s="1"/>
      <c r="R14" s="1"/>
      <c r="S14" s="1"/>
    </row>
    <row r="15" spans="1:19">
      <c r="A15" s="217">
        <v>2010</v>
      </c>
      <c r="B15" s="213">
        <v>3</v>
      </c>
      <c r="C15" s="213">
        <v>3.1712220000000002</v>
      </c>
      <c r="D15" s="213">
        <v>2.9965665762316407</v>
      </c>
      <c r="E15" s="214">
        <v>4.371584699453579</v>
      </c>
      <c r="F15" s="218">
        <v>1913.98</v>
      </c>
      <c r="G15" s="219">
        <v>-6.37</v>
      </c>
      <c r="H15" s="220">
        <v>-3.9112641755955635</v>
      </c>
      <c r="J15" s="1"/>
      <c r="K15" s="1"/>
      <c r="L15" s="1"/>
      <c r="M15" s="1"/>
      <c r="N15" s="1"/>
      <c r="O15" s="1"/>
      <c r="P15" s="1"/>
      <c r="Q15" s="1"/>
      <c r="R15" s="1"/>
      <c r="S15" s="1"/>
    </row>
    <row r="16" spans="1:19">
      <c r="A16" s="217">
        <v>2011</v>
      </c>
      <c r="B16" s="213">
        <v>3</v>
      </c>
      <c r="C16" s="213">
        <v>3.725787</v>
      </c>
      <c r="D16" s="213">
        <v>3.3872121138011524</v>
      </c>
      <c r="E16" s="214">
        <v>5.5106930517348607</v>
      </c>
      <c r="F16" s="218">
        <v>1942.7</v>
      </c>
      <c r="G16" s="219">
        <v>1.5</v>
      </c>
      <c r="H16" s="220">
        <v>-1.0638650846733877</v>
      </c>
      <c r="J16" s="1"/>
      <c r="K16" s="1"/>
      <c r="L16" s="1"/>
      <c r="M16" s="1"/>
      <c r="N16" s="1"/>
      <c r="O16" s="1"/>
      <c r="P16" s="1"/>
      <c r="Q16" s="1"/>
      <c r="R16" s="1"/>
      <c r="S16" s="1"/>
    </row>
    <row r="17" spans="1:19">
      <c r="A17" s="217">
        <v>2012</v>
      </c>
      <c r="B17" s="213">
        <v>3</v>
      </c>
      <c r="C17" s="213">
        <v>2.44</v>
      </c>
      <c r="D17" s="213">
        <v>2.6695864841334016</v>
      </c>
      <c r="E17" s="214">
        <v>-2.95</v>
      </c>
      <c r="F17" s="218">
        <v>1768.23</v>
      </c>
      <c r="G17" s="219">
        <v>-8.98</v>
      </c>
      <c r="H17" s="220">
        <v>-2.7640191452109164</v>
      </c>
      <c r="J17" s="1"/>
      <c r="K17" s="1"/>
      <c r="L17" s="1"/>
      <c r="M17" s="1"/>
      <c r="N17" s="1"/>
      <c r="O17" s="1"/>
      <c r="P17" s="1"/>
      <c r="Q17" s="1"/>
      <c r="R17" s="1"/>
      <c r="S17" s="1"/>
    </row>
    <row r="18" spans="1:19">
      <c r="A18" s="217">
        <v>2013</v>
      </c>
      <c r="B18" s="213">
        <v>3</v>
      </c>
      <c r="C18" s="213">
        <v>1.94</v>
      </c>
      <c r="D18" s="213">
        <v>2.4619227415656031</v>
      </c>
      <c r="E18" s="214">
        <v>-0.49</v>
      </c>
      <c r="F18" s="218">
        <v>1926.83</v>
      </c>
      <c r="G18" s="219">
        <v>8.9700000000000006</v>
      </c>
      <c r="H18" s="220">
        <v>6.1538308470996839</v>
      </c>
      <c r="I18" s="387"/>
      <c r="J18" s="1"/>
      <c r="K18" s="1"/>
      <c r="L18" s="1"/>
      <c r="M18" s="1"/>
      <c r="N18" s="1"/>
      <c r="O18" s="1"/>
      <c r="P18" s="1"/>
      <c r="Q18" s="1"/>
      <c r="R18" s="1"/>
      <c r="S18" s="1"/>
    </row>
    <row r="19" spans="1:19">
      <c r="A19" s="217">
        <v>2014</v>
      </c>
      <c r="B19" s="213">
        <v>3</v>
      </c>
      <c r="C19" s="213">
        <v>3.66</v>
      </c>
      <c r="D19" s="213">
        <v>3.2841451989137793</v>
      </c>
      <c r="E19" s="214">
        <v>6.3317398899999997</v>
      </c>
      <c r="F19" s="218">
        <v>2392.46</v>
      </c>
      <c r="G19" s="219">
        <v>24.17</v>
      </c>
      <c r="H19" s="220">
        <v>7.5154521631712434</v>
      </c>
      <c r="I19" s="387">
        <f t="shared" ref="I19:I27" si="0">G19/100</f>
        <v>0.24170000000000003</v>
      </c>
      <c r="J19" s="1"/>
      <c r="K19" s="1"/>
      <c r="L19" s="1"/>
      <c r="M19" s="1"/>
      <c r="N19" s="1"/>
      <c r="O19" s="1"/>
      <c r="P19" s="1"/>
      <c r="Q19" s="1"/>
      <c r="R19" s="1"/>
      <c r="S19" s="1"/>
    </row>
    <row r="20" spans="1:19">
      <c r="A20" s="217">
        <v>2015</v>
      </c>
      <c r="B20" s="213">
        <v>3</v>
      </c>
      <c r="C20" s="213">
        <v>6.77</v>
      </c>
      <c r="D20" s="213">
        <v>5.2518674261124998</v>
      </c>
      <c r="E20" s="214">
        <v>9.5699999999999896</v>
      </c>
      <c r="F20" s="218">
        <v>3149.47</v>
      </c>
      <c r="G20" s="219">
        <v>31.64</v>
      </c>
      <c r="H20" s="220">
        <v>13.709776497626747</v>
      </c>
      <c r="I20" s="387">
        <f t="shared" si="0"/>
        <v>0.31640000000000001</v>
      </c>
      <c r="J20" s="1"/>
      <c r="K20" s="1"/>
      <c r="L20" s="1"/>
      <c r="M20" s="1"/>
      <c r="N20" s="1"/>
      <c r="O20" s="1"/>
      <c r="P20" s="1"/>
      <c r="Q20" s="1"/>
      <c r="R20" s="1"/>
      <c r="S20" s="1"/>
    </row>
    <row r="21" spans="1:19">
      <c r="A21" s="217">
        <v>2016</v>
      </c>
      <c r="B21" s="213">
        <v>3</v>
      </c>
      <c r="C21" s="213">
        <v>5.75</v>
      </c>
      <c r="D21" s="213">
        <v>5.5131207494701684</v>
      </c>
      <c r="E21" s="214">
        <v>1.62</v>
      </c>
      <c r="F21" s="218">
        <v>3000.71</v>
      </c>
      <c r="G21" s="219">
        <v>-4.72</v>
      </c>
      <c r="H21" s="214">
        <v>-7.4375722463916549</v>
      </c>
      <c r="I21" s="387">
        <f t="shared" si="0"/>
        <v>-4.7199999999999999E-2</v>
      </c>
      <c r="J21" s="1"/>
      <c r="K21" s="1"/>
      <c r="L21" s="1"/>
      <c r="M21" s="1"/>
      <c r="N21" s="1"/>
      <c r="O21" s="1"/>
      <c r="P21" s="1"/>
      <c r="Q21" s="1"/>
      <c r="R21" s="1"/>
      <c r="S21" s="1"/>
    </row>
    <row r="22" spans="1:19">
      <c r="A22" s="217">
        <v>2017</v>
      </c>
      <c r="B22" s="213">
        <v>3</v>
      </c>
      <c r="C22" s="213">
        <v>4.09</v>
      </c>
      <c r="D22" s="213">
        <v>5.0304591297459789</v>
      </c>
      <c r="E22" s="214">
        <v>1.85</v>
      </c>
      <c r="F22" s="218">
        <v>2984</v>
      </c>
      <c r="G22" s="219">
        <v>-0.56000000000000005</v>
      </c>
      <c r="H22" s="214">
        <v>4.7138095724830853</v>
      </c>
      <c r="I22" s="387">
        <f t="shared" si="0"/>
        <v>-5.6000000000000008E-3</v>
      </c>
      <c r="J22" s="1"/>
      <c r="K22" s="1"/>
      <c r="L22" s="1"/>
      <c r="M22" s="1"/>
      <c r="N22" s="1"/>
      <c r="O22" s="1"/>
      <c r="P22" s="1"/>
      <c r="Q22" s="1"/>
      <c r="R22" s="1"/>
      <c r="S22" s="1"/>
    </row>
    <row r="23" spans="1:19">
      <c r="A23" s="217">
        <v>2018</v>
      </c>
      <c r="B23" s="213">
        <v>3</v>
      </c>
      <c r="C23" s="213">
        <v>3.18</v>
      </c>
      <c r="D23" s="213">
        <v>3.5058744435203071</v>
      </c>
      <c r="E23" s="214">
        <v>3.09</v>
      </c>
      <c r="F23" s="218">
        <v>3249.75</v>
      </c>
      <c r="G23" s="219">
        <v>8.9058310991957157</v>
      </c>
      <c r="H23" s="214">
        <v>-0.90724690310400868</v>
      </c>
      <c r="I23" s="387">
        <f t="shared" si="0"/>
        <v>8.9058310991957157E-2</v>
      </c>
      <c r="J23" s="1"/>
      <c r="K23" s="1"/>
      <c r="L23" s="1"/>
      <c r="M23" s="1"/>
      <c r="N23" s="1"/>
      <c r="O23" s="1"/>
      <c r="P23" s="1"/>
      <c r="Q23" s="1"/>
      <c r="R23" s="1"/>
      <c r="S23" s="1"/>
    </row>
    <row r="24" spans="1:19">
      <c r="A24" s="217">
        <v>2019</v>
      </c>
      <c r="B24" s="213">
        <v>3</v>
      </c>
      <c r="C24" s="213">
        <v>3.8</v>
      </c>
      <c r="D24" s="213">
        <v>3.4506032890035732</v>
      </c>
      <c r="E24" s="214">
        <v>4.66</v>
      </c>
      <c r="F24" s="218">
        <v>3277.14</v>
      </c>
      <c r="G24" s="219">
        <v>0.8428340641587706</v>
      </c>
      <c r="H24" s="214">
        <v>0.64132635908240587</v>
      </c>
      <c r="I24" s="387">
        <f t="shared" si="0"/>
        <v>8.428340641587706E-3</v>
      </c>
      <c r="J24" s="1"/>
      <c r="K24" s="1"/>
      <c r="L24" s="1"/>
      <c r="M24" s="1"/>
      <c r="N24" s="1"/>
      <c r="O24" s="1"/>
      <c r="P24" s="1"/>
      <c r="Q24" s="1"/>
      <c r="R24" s="1"/>
      <c r="S24" s="1"/>
    </row>
    <row r="25" spans="1:19">
      <c r="A25" s="217">
        <v>2020</v>
      </c>
      <c r="B25" s="213">
        <v>3</v>
      </c>
      <c r="C25" s="213">
        <v>1.61</v>
      </c>
      <c r="D25" s="213">
        <v>1.03</v>
      </c>
      <c r="E25" s="214">
        <v>1.65</v>
      </c>
      <c r="F25" s="218">
        <v>3432.5</v>
      </c>
      <c r="G25" s="219">
        <v>4.7407190416033584</v>
      </c>
      <c r="H25" s="214">
        <v>4.7214905252965345</v>
      </c>
      <c r="I25" s="387">
        <f t="shared" si="0"/>
        <v>4.7407190416033584E-2</v>
      </c>
      <c r="J25" s="1"/>
      <c r="K25" s="388">
        <f>AVERAGE(I19:I28)</f>
        <v>8.1284928781704249E-2</v>
      </c>
      <c r="L25" s="1"/>
      <c r="M25" s="1"/>
      <c r="N25" s="1"/>
      <c r="O25" s="1"/>
      <c r="P25" s="1"/>
      <c r="Q25" s="1"/>
      <c r="R25" s="1"/>
      <c r="S25" s="1"/>
    </row>
    <row r="26" spans="1:19">
      <c r="A26" s="217">
        <v>2021</v>
      </c>
      <c r="B26" s="213">
        <v>3</v>
      </c>
      <c r="C26" s="213">
        <v>5.62</v>
      </c>
      <c r="D26" s="213">
        <v>3.44</v>
      </c>
      <c r="E26" s="214">
        <v>18.628396848367924</v>
      </c>
      <c r="F26" s="218">
        <v>3981.16</v>
      </c>
      <c r="G26" s="219">
        <v>15.984268026219951</v>
      </c>
      <c r="H26" s="214">
        <v>9.1482544405388833</v>
      </c>
      <c r="I26" s="387">
        <f t="shared" si="0"/>
        <v>0.1598426802621995</v>
      </c>
      <c r="J26" s="1"/>
      <c r="K26" s="1"/>
      <c r="L26" s="1"/>
      <c r="M26" s="1"/>
      <c r="N26" s="1"/>
      <c r="O26" s="1"/>
      <c r="P26" s="1"/>
      <c r="Q26" s="1"/>
      <c r="R26" s="1"/>
      <c r="S26" s="1"/>
    </row>
    <row r="27" spans="1:19">
      <c r="A27" s="217">
        <v>2022</v>
      </c>
      <c r="B27" s="213">
        <v>3</v>
      </c>
      <c r="C27" s="213">
        <v>13.12</v>
      </c>
      <c r="D27" s="213">
        <v>9.99</v>
      </c>
      <c r="E27" s="214">
        <v>19.17993900372754</v>
      </c>
      <c r="F27" s="218">
        <v>4810.2</v>
      </c>
      <c r="G27" s="219">
        <v>20.824081423504715</v>
      </c>
      <c r="H27" s="214">
        <v>5.1919109367710048</v>
      </c>
      <c r="I27" s="387">
        <f t="shared" si="0"/>
        <v>0.20824081423504714</v>
      </c>
      <c r="J27" s="1"/>
      <c r="K27" s="1"/>
      <c r="L27" s="221"/>
      <c r="M27" s="1"/>
      <c r="N27" s="1"/>
      <c r="O27" s="1"/>
      <c r="P27" s="1"/>
      <c r="Q27" s="1"/>
      <c r="R27" s="1"/>
      <c r="S27" s="1"/>
    </row>
    <row r="28" spans="1:19">
      <c r="A28" s="217">
        <v>2023</v>
      </c>
      <c r="B28" s="213">
        <v>3</v>
      </c>
      <c r="C28" s="213">
        <v>9.2799999999999994</v>
      </c>
      <c r="D28" s="213">
        <v>10.33</v>
      </c>
      <c r="E28" s="214">
        <v>-0.72220642593118223</v>
      </c>
      <c r="F28" s="218">
        <v>3822.05</v>
      </c>
      <c r="G28" s="219">
        <v>-20.542804872978248</v>
      </c>
      <c r="H28" s="214">
        <v>-18.97337624313019</v>
      </c>
      <c r="I28" s="387">
        <f>G28/100</f>
        <v>-0.20542804872978249</v>
      </c>
      <c r="J28" s="1"/>
      <c r="K28" s="1"/>
      <c r="L28" s="221"/>
      <c r="M28" s="1"/>
      <c r="N28" s="1"/>
      <c r="O28" s="1"/>
      <c r="P28" s="1"/>
      <c r="Q28" s="1"/>
      <c r="R28" s="1"/>
      <c r="S28" s="1"/>
    </row>
    <row r="29" spans="1:19">
      <c r="A29" s="217"/>
      <c r="B29" s="213"/>
      <c r="C29" s="213"/>
      <c r="D29" s="213"/>
      <c r="E29" s="214"/>
      <c r="F29" s="215"/>
      <c r="G29" s="213"/>
      <c r="H29" s="214"/>
      <c r="J29" s="1"/>
      <c r="K29" s="1"/>
      <c r="L29" s="1"/>
      <c r="M29" s="1"/>
      <c r="N29" s="1"/>
      <c r="O29" s="1"/>
      <c r="P29" s="1"/>
      <c r="Q29" s="1"/>
      <c r="R29" s="1"/>
      <c r="S29" s="1"/>
    </row>
    <row r="30" spans="1:19">
      <c r="A30" s="217"/>
      <c r="B30" s="222"/>
      <c r="C30" s="223" t="s">
        <v>3344</v>
      </c>
      <c r="D30" s="224"/>
      <c r="E30" s="225"/>
      <c r="F30" s="215"/>
      <c r="G30" s="223" t="s">
        <v>3344</v>
      </c>
      <c r="H30" s="214"/>
      <c r="J30" s="1"/>
      <c r="K30" s="1"/>
      <c r="L30" s="1"/>
      <c r="M30" s="1"/>
      <c r="N30" s="1"/>
      <c r="O30" s="1"/>
      <c r="P30" s="1"/>
      <c r="Q30" s="1"/>
      <c r="R30" s="1"/>
      <c r="S30" s="1"/>
    </row>
    <row r="31" spans="1:19" hidden="1">
      <c r="A31" s="226">
        <v>40544</v>
      </c>
      <c r="B31" s="213">
        <v>3</v>
      </c>
      <c r="C31" s="213">
        <v>3.4</v>
      </c>
      <c r="D31" s="213">
        <v>3.0377625719919754</v>
      </c>
      <c r="E31" s="213">
        <v>4.3282549000000001</v>
      </c>
      <c r="F31" s="215">
        <v>1857.98</v>
      </c>
      <c r="G31" s="213">
        <v>-6.2710299703877759</v>
      </c>
      <c r="H31" s="214">
        <v>-2.5865777906921905</v>
      </c>
      <c r="J31" s="1"/>
      <c r="K31" s="1"/>
      <c r="L31" s="1"/>
      <c r="M31" s="1"/>
      <c r="N31" s="1"/>
      <c r="O31" s="1"/>
      <c r="P31" s="1"/>
      <c r="Q31" s="1"/>
      <c r="R31" s="1"/>
      <c r="S31" s="1"/>
    </row>
    <row r="32" spans="1:19" hidden="1">
      <c r="A32" s="226">
        <v>40575</v>
      </c>
      <c r="B32" s="213">
        <v>3</v>
      </c>
      <c r="C32" s="213">
        <v>3.17</v>
      </c>
      <c r="D32" s="213">
        <v>2.9604251055753705</v>
      </c>
      <c r="E32" s="213">
        <v>4.6226060100000002</v>
      </c>
      <c r="F32" s="215">
        <v>1895.56</v>
      </c>
      <c r="G32" s="213">
        <v>-1.902376417984597</v>
      </c>
      <c r="H32" s="214">
        <v>2.4105880992354667</v>
      </c>
      <c r="J32" s="1"/>
      <c r="K32" s="1"/>
      <c r="L32" s="1"/>
      <c r="M32" s="1"/>
      <c r="N32" s="1"/>
      <c r="O32" s="1"/>
      <c r="P32" s="1"/>
      <c r="Q32" s="1"/>
      <c r="R32" s="1"/>
      <c r="S32" s="1"/>
    </row>
    <row r="33" spans="1:19" hidden="1">
      <c r="A33" s="226">
        <v>40603</v>
      </c>
      <c r="B33" s="213">
        <v>3</v>
      </c>
      <c r="C33" s="213">
        <v>3.19</v>
      </c>
      <c r="D33" s="213">
        <v>3.1346660332082665</v>
      </c>
      <c r="E33" s="213">
        <v>4.9793039099999996</v>
      </c>
      <c r="F33" s="215">
        <v>1879.47</v>
      </c>
      <c r="G33" s="213">
        <v>-2.5469384368891235</v>
      </c>
      <c r="H33" s="214">
        <v>5.18335201078306</v>
      </c>
      <c r="J33" s="1"/>
      <c r="K33" s="1"/>
      <c r="L33" s="1"/>
      <c r="M33" s="1"/>
      <c r="N33" s="1"/>
      <c r="O33" s="1"/>
      <c r="P33" s="1"/>
      <c r="Q33" s="1"/>
      <c r="R33" s="1"/>
      <c r="S33" s="1"/>
    </row>
    <row r="34" spans="1:19" hidden="1">
      <c r="A34" s="226">
        <v>40634</v>
      </c>
      <c r="B34" s="213">
        <v>3</v>
      </c>
      <c r="C34" s="213">
        <v>2.84</v>
      </c>
      <c r="D34" s="213">
        <v>3.0808916155433241</v>
      </c>
      <c r="E34" s="213">
        <v>4.7039670600000001</v>
      </c>
      <c r="F34" s="215">
        <v>1768.19</v>
      </c>
      <c r="G34" s="213">
        <v>-10.232770656174639</v>
      </c>
      <c r="H34" s="214">
        <v>1.0530497412170492</v>
      </c>
      <c r="J34" s="1"/>
      <c r="K34" s="1"/>
      <c r="L34" s="1"/>
      <c r="M34" s="1"/>
      <c r="N34" s="1"/>
      <c r="O34" s="1"/>
      <c r="P34" s="1"/>
      <c r="Q34" s="1"/>
      <c r="R34" s="1"/>
      <c r="S34" s="1"/>
    </row>
    <row r="35" spans="1:19" hidden="1">
      <c r="A35" s="226">
        <v>40664</v>
      </c>
      <c r="B35" s="213">
        <v>3</v>
      </c>
      <c r="C35" s="213">
        <v>3.02</v>
      </c>
      <c r="D35" s="213">
        <v>3.0303702529707044</v>
      </c>
      <c r="E35" s="213">
        <v>4.8127188800000003</v>
      </c>
      <c r="F35" s="215">
        <v>1817.34</v>
      </c>
      <c r="G35" s="213">
        <v>-7.8217646014557047</v>
      </c>
      <c r="H35" s="214">
        <v>-0.14130202860807017</v>
      </c>
      <c r="J35" s="1"/>
      <c r="K35" s="1"/>
      <c r="L35" s="1"/>
      <c r="M35" s="1"/>
      <c r="N35" s="1"/>
      <c r="O35" s="1"/>
      <c r="P35" s="1"/>
      <c r="Q35" s="1"/>
      <c r="R35" s="1"/>
      <c r="S35" s="1"/>
    </row>
    <row r="36" spans="1:19" hidden="1">
      <c r="A36" s="226">
        <v>40695</v>
      </c>
      <c r="B36" s="213">
        <v>3</v>
      </c>
      <c r="C36" s="213">
        <v>3.23</v>
      </c>
      <c r="D36" s="213">
        <v>3.119686636500596</v>
      </c>
      <c r="E36" s="213">
        <v>4.7185764099999998</v>
      </c>
      <c r="F36" s="215">
        <v>1780.16</v>
      </c>
      <c r="G36" s="213">
        <v>-7.1120712146353178</v>
      </c>
      <c r="H36" s="214">
        <v>2.0802402257808827</v>
      </c>
      <c r="J36" s="1"/>
      <c r="K36" s="1"/>
      <c r="L36" s="1"/>
      <c r="M36" s="1"/>
      <c r="N36" s="1"/>
      <c r="O36" s="1"/>
      <c r="P36" s="1"/>
      <c r="Q36" s="1"/>
      <c r="R36" s="1"/>
      <c r="S36" s="1"/>
    </row>
    <row r="37" spans="1:19" hidden="1">
      <c r="A37" s="226">
        <v>40725</v>
      </c>
      <c r="B37" s="213">
        <v>3</v>
      </c>
      <c r="C37" s="213">
        <v>3.42</v>
      </c>
      <c r="D37" s="213">
        <v>3.1288313755533759</v>
      </c>
      <c r="E37" s="213">
        <v>4.7728089999999996</v>
      </c>
      <c r="F37" s="215">
        <v>1777.82</v>
      </c>
      <c r="G37" s="213">
        <v>-3.5256323292399028</v>
      </c>
      <c r="H37" s="214">
        <v>2.9798392117181383</v>
      </c>
      <c r="J37" s="1"/>
      <c r="K37" s="1"/>
      <c r="L37" s="1"/>
      <c r="M37" s="1"/>
      <c r="N37" s="1"/>
      <c r="O37" s="1"/>
      <c r="P37" s="1"/>
      <c r="Q37" s="1"/>
      <c r="R37" s="1"/>
      <c r="S37" s="1"/>
    </row>
    <row r="38" spans="1:19" hidden="1">
      <c r="A38" s="226">
        <v>40756</v>
      </c>
      <c r="B38" s="213">
        <v>3</v>
      </c>
      <c r="C38" s="213">
        <v>3.27</v>
      </c>
      <c r="D38" s="213">
        <v>2.9983872298041669</v>
      </c>
      <c r="E38" s="213">
        <v>5.38249479</v>
      </c>
      <c r="F38" s="215">
        <v>1783.66</v>
      </c>
      <c r="G38" s="213">
        <v>-2.1976816870825866</v>
      </c>
      <c r="H38" s="214">
        <v>5.3002152264426394</v>
      </c>
      <c r="J38" s="1"/>
      <c r="K38" s="1"/>
      <c r="L38" s="1"/>
      <c r="M38" s="1"/>
      <c r="N38" s="1"/>
      <c r="O38" s="1"/>
      <c r="P38" s="1"/>
      <c r="Q38" s="1"/>
      <c r="R38" s="1"/>
      <c r="S38" s="1"/>
    </row>
    <row r="39" spans="1:19" hidden="1">
      <c r="A39" s="226">
        <v>40787</v>
      </c>
      <c r="B39" s="213">
        <v>3</v>
      </c>
      <c r="C39" s="213">
        <v>3.73</v>
      </c>
      <c r="D39" s="213">
        <v>3.214192542263028</v>
      </c>
      <c r="E39" s="213">
        <v>6.6866460300000004</v>
      </c>
      <c r="F39" s="215">
        <v>1915.1</v>
      </c>
      <c r="G39" s="213">
        <v>6.4009467245220497</v>
      </c>
      <c r="H39" s="214">
        <v>4.8230269530264991</v>
      </c>
      <c r="J39" s="1"/>
      <c r="K39" s="1"/>
      <c r="L39" s="1"/>
      <c r="M39" s="1"/>
      <c r="N39" s="1"/>
      <c r="O39" s="1"/>
      <c r="P39" s="1"/>
      <c r="Q39" s="1"/>
      <c r="R39" s="1"/>
      <c r="S39" s="1"/>
    </row>
    <row r="40" spans="1:19" hidden="1">
      <c r="A40" s="226">
        <v>40817</v>
      </c>
      <c r="B40" s="213">
        <v>3</v>
      </c>
      <c r="C40" s="213">
        <v>4.0199999999999996</v>
      </c>
      <c r="D40" s="213">
        <v>3.2631922559690274</v>
      </c>
      <c r="E40" s="213">
        <v>8.1766504999999992</v>
      </c>
      <c r="F40" s="215">
        <v>1863.06</v>
      </c>
      <c r="G40" s="213">
        <v>1.715402590028603</v>
      </c>
      <c r="H40" s="214">
        <v>3.8816335355118303</v>
      </c>
      <c r="J40" s="1"/>
      <c r="K40" s="1"/>
      <c r="L40" s="1"/>
      <c r="M40" s="1"/>
      <c r="N40" s="1"/>
      <c r="O40" s="1"/>
      <c r="P40" s="1"/>
      <c r="Q40" s="1"/>
      <c r="R40" s="1"/>
      <c r="S40" s="1"/>
    </row>
    <row r="41" spans="1:19" hidden="1">
      <c r="A41" s="226">
        <v>40848</v>
      </c>
      <c r="B41" s="213">
        <v>3</v>
      </c>
      <c r="C41" s="213">
        <v>3.96</v>
      </c>
      <c r="D41" s="213">
        <v>3.2967166546896465</v>
      </c>
      <c r="E41" s="213">
        <v>7.0860387999999999</v>
      </c>
      <c r="F41" s="215">
        <v>1967.18</v>
      </c>
      <c r="G41" s="213">
        <v>2.6197729738753006</v>
      </c>
      <c r="H41" s="214">
        <v>1.6686356115408918</v>
      </c>
      <c r="J41" s="1"/>
      <c r="K41" s="1"/>
      <c r="L41" s="1"/>
      <c r="M41" s="1"/>
      <c r="N41" s="1"/>
      <c r="O41" s="1"/>
      <c r="P41" s="1"/>
      <c r="Q41" s="1"/>
      <c r="R41" s="1"/>
      <c r="S41" s="1"/>
    </row>
    <row r="42" spans="1:19" hidden="1">
      <c r="A42" s="226">
        <v>40878</v>
      </c>
      <c r="B42" s="213">
        <v>3</v>
      </c>
      <c r="C42" s="213">
        <v>3.73</v>
      </c>
      <c r="D42" s="213">
        <v>3.3872121138011524</v>
      </c>
      <c r="E42" s="213">
        <v>5.51</v>
      </c>
      <c r="F42" s="215">
        <v>1942.7</v>
      </c>
      <c r="G42" s="213">
        <v>1.500538145644148</v>
      </c>
      <c r="H42" s="214">
        <v>-1.0638650846733877</v>
      </c>
      <c r="J42" s="1"/>
      <c r="K42" s="1"/>
      <c r="L42" s="1"/>
      <c r="M42" s="1"/>
      <c r="N42" s="1"/>
      <c r="O42" s="1"/>
      <c r="P42" s="1"/>
      <c r="Q42" s="1"/>
      <c r="R42" s="1"/>
      <c r="S42" s="1"/>
    </row>
    <row r="43" spans="1:19" hidden="1">
      <c r="A43" s="226">
        <v>40909</v>
      </c>
      <c r="B43" s="213">
        <v>3</v>
      </c>
      <c r="C43" s="213">
        <v>3.54</v>
      </c>
      <c r="D43" s="213">
        <v>3.3068990349444993</v>
      </c>
      <c r="E43" s="213">
        <v>3.75</v>
      </c>
      <c r="F43" s="215">
        <v>1815.08</v>
      </c>
      <c r="G43" s="213">
        <v>-2.3089591922410446</v>
      </c>
      <c r="H43" s="214">
        <v>-1.338562510783603</v>
      </c>
      <c r="J43" s="1"/>
      <c r="K43" s="1"/>
      <c r="L43" s="1"/>
      <c r="M43" s="1"/>
      <c r="N43" s="1"/>
      <c r="O43" s="1"/>
      <c r="P43" s="1"/>
      <c r="Q43" s="1"/>
      <c r="R43" s="1"/>
      <c r="S43" s="1"/>
    </row>
    <row r="44" spans="1:19" hidden="1">
      <c r="A44" s="226">
        <v>40940</v>
      </c>
      <c r="B44" s="213">
        <v>3</v>
      </c>
      <c r="C44" s="213">
        <v>3.55</v>
      </c>
      <c r="D44" s="213">
        <v>3.371436109127024</v>
      </c>
      <c r="E44" s="213">
        <v>2.72</v>
      </c>
      <c r="F44" s="215">
        <v>1767.83</v>
      </c>
      <c r="G44" s="213">
        <v>-6.74</v>
      </c>
      <c r="H44" s="214">
        <v>-4.2774387275450243</v>
      </c>
      <c r="J44" s="1"/>
      <c r="K44" s="1"/>
      <c r="L44" s="1"/>
      <c r="M44" s="1"/>
      <c r="N44" s="1"/>
      <c r="O44" s="1"/>
      <c r="P44" s="1"/>
      <c r="Q44" s="1"/>
      <c r="R44" s="1"/>
      <c r="S44" s="1"/>
    </row>
    <row r="45" spans="1:19" hidden="1">
      <c r="A45" s="226">
        <v>40969</v>
      </c>
      <c r="B45" s="213">
        <v>3</v>
      </c>
      <c r="C45" s="213">
        <v>3.4</v>
      </c>
      <c r="D45" s="213">
        <v>3.2556334804538567</v>
      </c>
      <c r="E45" s="213">
        <v>1.56</v>
      </c>
      <c r="F45" s="215">
        <v>1792.07</v>
      </c>
      <c r="G45" s="213">
        <v>-4.6500000000000004</v>
      </c>
      <c r="H45" s="214">
        <v>-5.8138403823833844</v>
      </c>
      <c r="J45" s="1"/>
      <c r="K45" s="1"/>
      <c r="L45" s="1"/>
      <c r="M45" s="1"/>
      <c r="N45" s="1"/>
      <c r="O45" s="1"/>
      <c r="P45" s="1"/>
      <c r="Q45" s="1"/>
      <c r="R45" s="1"/>
      <c r="S45" s="1"/>
    </row>
    <row r="46" spans="1:19" hidden="1">
      <c r="A46" s="226">
        <v>41000</v>
      </c>
      <c r="B46" s="213">
        <v>3</v>
      </c>
      <c r="C46" s="213">
        <v>3.43</v>
      </c>
      <c r="D46" s="213">
        <v>3.1365231799283633</v>
      </c>
      <c r="E46" s="213">
        <v>1.56</v>
      </c>
      <c r="F46" s="215">
        <v>1761.2</v>
      </c>
      <c r="G46" s="213">
        <v>-0.4</v>
      </c>
      <c r="H46" s="214">
        <v>-4.1956287990885581</v>
      </c>
      <c r="J46" s="1"/>
      <c r="K46" s="1"/>
      <c r="L46" s="1"/>
      <c r="M46" s="1"/>
      <c r="N46" s="1"/>
      <c r="O46" s="1"/>
      <c r="P46" s="1"/>
      <c r="Q46" s="1"/>
      <c r="R46" s="1"/>
      <c r="S46" s="1"/>
    </row>
    <row r="47" spans="1:19" hidden="1">
      <c r="A47" s="226">
        <v>41030</v>
      </c>
      <c r="B47" s="213">
        <v>3</v>
      </c>
      <c r="C47" s="213">
        <v>3.44</v>
      </c>
      <c r="D47" s="213">
        <v>3.2440245549216984</v>
      </c>
      <c r="E47" s="213">
        <v>0.80109084711095235</v>
      </c>
      <c r="F47" s="215">
        <v>1827.83</v>
      </c>
      <c r="G47" s="213">
        <v>0.57999999999999996</v>
      </c>
      <c r="H47" s="214">
        <v>-3.8132606600713492</v>
      </c>
      <c r="J47" s="1"/>
      <c r="K47" s="1"/>
      <c r="L47" s="1"/>
      <c r="M47" s="1"/>
      <c r="N47" s="1"/>
      <c r="O47" s="1"/>
      <c r="P47" s="1"/>
      <c r="Q47" s="1"/>
      <c r="R47" s="1"/>
      <c r="S47" s="1"/>
    </row>
    <row r="48" spans="1:19" hidden="1">
      <c r="A48" s="226">
        <v>41061</v>
      </c>
      <c r="B48" s="213">
        <v>3</v>
      </c>
      <c r="C48" s="213">
        <v>3.2</v>
      </c>
      <c r="D48" s="213">
        <v>3.0879381966098629</v>
      </c>
      <c r="E48" s="213">
        <v>-0.69</v>
      </c>
      <c r="F48" s="215">
        <v>1784.6</v>
      </c>
      <c r="G48" s="213">
        <v>0.25</v>
      </c>
      <c r="H48" s="214">
        <v>-3.1982029113693078</v>
      </c>
      <c r="J48" s="1"/>
      <c r="K48" s="1"/>
      <c r="L48" s="1"/>
      <c r="M48" s="1"/>
      <c r="N48" s="1"/>
      <c r="O48" s="1"/>
      <c r="P48" s="1"/>
      <c r="Q48" s="1"/>
      <c r="R48" s="1"/>
      <c r="S48" s="1"/>
    </row>
    <row r="49" spans="1:19" hidden="1">
      <c r="A49" s="226">
        <v>41091</v>
      </c>
      <c r="B49" s="213">
        <v>3</v>
      </c>
      <c r="C49" s="213">
        <v>3.03</v>
      </c>
      <c r="D49" s="213">
        <v>3.0141812066472706</v>
      </c>
      <c r="E49" s="213">
        <v>-0.31</v>
      </c>
      <c r="F49" s="215">
        <v>1789.02</v>
      </c>
      <c r="G49" s="213">
        <v>0.63</v>
      </c>
      <c r="H49" s="214">
        <v>-3.0333970181707692</v>
      </c>
      <c r="J49" s="1"/>
      <c r="K49" s="1"/>
      <c r="L49" s="1"/>
      <c r="M49" s="1"/>
      <c r="N49" s="1"/>
      <c r="O49" s="1"/>
      <c r="P49" s="1"/>
      <c r="Q49" s="1"/>
      <c r="R49" s="1"/>
      <c r="S49" s="1"/>
    </row>
    <row r="50" spans="1:19" hidden="1">
      <c r="A50" s="226">
        <v>41122</v>
      </c>
      <c r="B50" s="213">
        <v>3</v>
      </c>
      <c r="C50" s="213">
        <v>3.11</v>
      </c>
      <c r="D50" s="213">
        <v>3.0313574564957424</v>
      </c>
      <c r="E50" s="213">
        <v>0.12</v>
      </c>
      <c r="F50" s="215">
        <v>1830.5</v>
      </c>
      <c r="G50" s="213">
        <v>2.63</v>
      </c>
      <c r="H50" s="214">
        <v>-1.8759081964442315</v>
      </c>
      <c r="J50" s="1"/>
      <c r="K50" s="1"/>
      <c r="L50" s="1"/>
      <c r="M50" s="1"/>
      <c r="N50" s="1"/>
      <c r="O50" s="1"/>
      <c r="P50" s="1"/>
      <c r="Q50" s="1"/>
      <c r="R50" s="1"/>
      <c r="S50" s="1"/>
    </row>
    <row r="51" spans="1:19" hidden="1">
      <c r="A51" s="226">
        <v>41153</v>
      </c>
      <c r="B51" s="213">
        <v>3</v>
      </c>
      <c r="C51" s="213">
        <v>3.08</v>
      </c>
      <c r="D51" s="213">
        <v>3.1165141336901847</v>
      </c>
      <c r="E51" s="213">
        <v>0.11</v>
      </c>
      <c r="F51" s="215">
        <v>1800.52</v>
      </c>
      <c r="G51" s="213">
        <v>-5.98</v>
      </c>
      <c r="H51" s="214">
        <v>-1.7586031688048731</v>
      </c>
      <c r="J51" s="1"/>
      <c r="K51" s="1"/>
      <c r="L51" s="1"/>
      <c r="M51" s="1"/>
      <c r="N51" s="1"/>
      <c r="O51" s="1"/>
      <c r="P51" s="1"/>
      <c r="Q51" s="1"/>
      <c r="R51" s="1"/>
      <c r="S51" s="1"/>
    </row>
    <row r="52" spans="1:19" hidden="1">
      <c r="A52" s="226">
        <v>41183</v>
      </c>
      <c r="B52" s="213">
        <v>3</v>
      </c>
      <c r="C52" s="213">
        <v>3.06</v>
      </c>
      <c r="D52" s="213">
        <v>3.1200029562308274</v>
      </c>
      <c r="E52" s="213">
        <v>-1.1299999999999999</v>
      </c>
      <c r="F52" s="215">
        <v>1829.89</v>
      </c>
      <c r="G52" s="213">
        <v>-1.78</v>
      </c>
      <c r="H52" s="214">
        <v>-3.5033176928557341</v>
      </c>
      <c r="J52" s="1"/>
      <c r="K52" s="1"/>
      <c r="L52" s="1"/>
      <c r="M52" s="1"/>
      <c r="N52" s="1"/>
      <c r="O52" s="1"/>
      <c r="P52" s="1"/>
      <c r="Q52" s="1"/>
      <c r="R52" s="1"/>
      <c r="S52" s="1"/>
    </row>
    <row r="53" spans="1:19" hidden="1">
      <c r="A53" s="226">
        <v>41214</v>
      </c>
      <c r="B53" s="213">
        <v>3</v>
      </c>
      <c r="C53" s="213">
        <v>2.77</v>
      </c>
      <c r="D53" s="213">
        <v>2.9381871850244545</v>
      </c>
      <c r="E53" s="213">
        <v>-2.09</v>
      </c>
      <c r="F53" s="215">
        <v>1817.93</v>
      </c>
      <c r="G53" s="213">
        <v>-7.59</v>
      </c>
      <c r="H53" s="214">
        <v>-3.0346300486945865</v>
      </c>
      <c r="J53" s="1"/>
      <c r="K53" s="1"/>
      <c r="L53" s="1"/>
      <c r="M53" s="1"/>
      <c r="N53" s="1"/>
      <c r="O53" s="1"/>
      <c r="P53" s="1"/>
      <c r="Q53" s="1"/>
      <c r="R53" s="1"/>
      <c r="S53" s="1"/>
    </row>
    <row r="54" spans="1:19" hidden="1">
      <c r="A54" s="226">
        <v>41244</v>
      </c>
      <c r="B54" s="213">
        <v>3</v>
      </c>
      <c r="C54" s="213">
        <v>2.44</v>
      </c>
      <c r="D54" s="213">
        <v>2.6695864841334016</v>
      </c>
      <c r="E54" s="213">
        <v>-2.95</v>
      </c>
      <c r="F54" s="215">
        <v>1768.23</v>
      </c>
      <c r="G54" s="213">
        <v>-8.98</v>
      </c>
      <c r="H54" s="214">
        <v>-2.7640191452109164</v>
      </c>
      <c r="J54" s="1"/>
      <c r="K54" s="1"/>
      <c r="L54" s="1"/>
      <c r="M54" s="1"/>
      <c r="N54" s="1"/>
      <c r="O54" s="1"/>
      <c r="P54" s="1"/>
      <c r="Q54" s="1"/>
      <c r="R54" s="1"/>
      <c r="S54" s="1"/>
    </row>
    <row r="55" spans="1:19" hidden="1">
      <c r="A55" s="226">
        <v>41275</v>
      </c>
      <c r="B55" s="213">
        <v>3</v>
      </c>
      <c r="C55" s="213">
        <v>2</v>
      </c>
      <c r="D55" s="213">
        <v>2.30634941419261</v>
      </c>
      <c r="E55" s="213">
        <v>-2.5099999999999998</v>
      </c>
      <c r="F55" s="215">
        <v>1773.24</v>
      </c>
      <c r="G55" s="213">
        <v>-2.31</v>
      </c>
      <c r="H55" s="214">
        <v>-0.17991614601970962</v>
      </c>
      <c r="J55" s="1"/>
      <c r="K55" s="1"/>
      <c r="L55" s="1"/>
      <c r="M55" s="1"/>
      <c r="N55" s="1"/>
      <c r="O55" s="1"/>
      <c r="P55" s="1"/>
      <c r="Q55" s="1"/>
      <c r="R55" s="1"/>
      <c r="S55" s="1"/>
    </row>
    <row r="56" spans="1:19" hidden="1">
      <c r="A56" s="226">
        <v>41306</v>
      </c>
      <c r="B56" s="213">
        <v>3</v>
      </c>
      <c r="C56" s="213">
        <v>1.83</v>
      </c>
      <c r="D56" s="213">
        <v>2.2428269767121423</v>
      </c>
      <c r="E56" s="213">
        <v>-2.4700000000000002</v>
      </c>
      <c r="F56" s="215">
        <v>1816.42</v>
      </c>
      <c r="G56" s="213">
        <v>2.75</v>
      </c>
      <c r="H56" s="214">
        <v>2.4160467920785189</v>
      </c>
      <c r="J56" s="1"/>
      <c r="K56" s="1"/>
      <c r="L56" s="1"/>
      <c r="M56" s="1"/>
      <c r="N56" s="1"/>
      <c r="O56" s="1"/>
      <c r="P56" s="1"/>
      <c r="Q56" s="1"/>
      <c r="R56" s="1"/>
      <c r="S56" s="1"/>
    </row>
    <row r="57" spans="1:19" hidden="1">
      <c r="A57" s="226">
        <v>41334</v>
      </c>
      <c r="B57" s="213">
        <v>3</v>
      </c>
      <c r="C57" s="213">
        <v>1.91</v>
      </c>
      <c r="D57" s="213">
        <v>2.2273055029808919</v>
      </c>
      <c r="E57" s="213">
        <v>-1.9</v>
      </c>
      <c r="F57" s="215">
        <v>1832.2</v>
      </c>
      <c r="G57" s="213">
        <v>2.2400000000000002</v>
      </c>
      <c r="H57" s="214">
        <v>2.5721849421905585</v>
      </c>
      <c r="J57" s="1"/>
      <c r="K57" s="1"/>
      <c r="L57" s="1"/>
      <c r="M57" s="1"/>
      <c r="N57" s="1"/>
      <c r="O57" s="1"/>
      <c r="P57" s="1"/>
      <c r="Q57" s="1"/>
      <c r="R57" s="1"/>
      <c r="S57" s="1"/>
    </row>
    <row r="58" spans="1:19" hidden="1">
      <c r="A58" s="226">
        <v>41365</v>
      </c>
      <c r="B58" s="213">
        <v>3</v>
      </c>
      <c r="C58" s="213">
        <v>2.02</v>
      </c>
      <c r="D58" s="213">
        <v>2.3190366745798219</v>
      </c>
      <c r="E58" s="213">
        <v>-2.42</v>
      </c>
      <c r="F58" s="215">
        <v>1828.79</v>
      </c>
      <c r="G58" s="213">
        <v>3.84</v>
      </c>
      <c r="H58" s="214">
        <v>3.9901266598084906</v>
      </c>
      <c r="J58" s="1"/>
      <c r="K58" s="1"/>
      <c r="L58" s="1"/>
      <c r="M58" s="1"/>
      <c r="N58" s="1"/>
      <c r="O58" s="1"/>
      <c r="P58" s="1"/>
      <c r="Q58" s="1"/>
      <c r="R58" s="1"/>
      <c r="S58" s="1"/>
    </row>
    <row r="59" spans="1:19" hidden="1">
      <c r="A59" s="226">
        <v>41395</v>
      </c>
      <c r="B59" s="213">
        <v>3</v>
      </c>
      <c r="C59" s="213">
        <v>2</v>
      </c>
      <c r="D59" s="213">
        <v>2.3955519384465829</v>
      </c>
      <c r="E59" s="213">
        <v>-2.09</v>
      </c>
      <c r="F59" s="215">
        <v>1891.48</v>
      </c>
      <c r="G59" s="213">
        <v>3.48</v>
      </c>
      <c r="H59" s="214">
        <v>5.399081536510919</v>
      </c>
      <c r="J59" s="1"/>
      <c r="K59" s="1"/>
      <c r="L59" s="1"/>
      <c r="M59" s="1"/>
      <c r="N59" s="1"/>
      <c r="O59" s="1"/>
      <c r="P59" s="1"/>
      <c r="Q59" s="1"/>
      <c r="R59" s="1"/>
      <c r="S59" s="1"/>
    </row>
    <row r="60" spans="1:19" hidden="1">
      <c r="A60" s="226">
        <v>41426</v>
      </c>
      <c r="B60" s="213">
        <v>3</v>
      </c>
      <c r="C60" s="213">
        <v>2.16</v>
      </c>
      <c r="D60" s="213">
        <v>2.5903861771320091</v>
      </c>
      <c r="E60" s="213">
        <v>-0.2</v>
      </c>
      <c r="F60" s="215">
        <v>1929</v>
      </c>
      <c r="G60" s="213">
        <v>8.09</v>
      </c>
      <c r="H60" s="214">
        <v>7.9130970568461967</v>
      </c>
      <c r="J60" s="1"/>
      <c r="K60" s="1"/>
      <c r="L60" s="1"/>
      <c r="M60" s="1"/>
      <c r="N60" s="1"/>
      <c r="O60" s="1"/>
      <c r="P60" s="1"/>
      <c r="Q60" s="1"/>
      <c r="R60" s="1"/>
      <c r="S60" s="1"/>
    </row>
    <row r="61" spans="1:19" hidden="1">
      <c r="A61" s="226">
        <v>41456</v>
      </c>
      <c r="B61" s="213">
        <v>3</v>
      </c>
      <c r="C61" s="213">
        <v>2.2200000000000002</v>
      </c>
      <c r="D61" s="213">
        <v>2.5626818705570598</v>
      </c>
      <c r="E61" s="213">
        <v>-0.02</v>
      </c>
      <c r="F61" s="215">
        <v>1890.33</v>
      </c>
      <c r="G61" s="213">
        <v>5.66</v>
      </c>
      <c r="H61" s="214">
        <v>7.0850330596468503</v>
      </c>
      <c r="J61" s="1"/>
      <c r="K61" s="1"/>
      <c r="L61" s="1"/>
      <c r="M61" s="1"/>
      <c r="N61" s="1"/>
      <c r="O61" s="1"/>
      <c r="P61" s="1"/>
      <c r="Q61" s="1"/>
      <c r="R61" s="1"/>
      <c r="S61" s="1"/>
    </row>
    <row r="62" spans="1:19" hidden="1">
      <c r="A62" s="226">
        <v>41487</v>
      </c>
      <c r="B62" s="213">
        <v>3</v>
      </c>
      <c r="C62" s="213">
        <v>2.27</v>
      </c>
      <c r="D62" s="213">
        <v>2.5797031487683197</v>
      </c>
      <c r="E62" s="213">
        <v>-0.51</v>
      </c>
      <c r="F62" s="215">
        <v>1935.43</v>
      </c>
      <c r="G62" s="213">
        <v>5.7323135755258159</v>
      </c>
      <c r="H62" s="214">
        <v>5.2633865635064003</v>
      </c>
      <c r="J62" s="1"/>
      <c r="K62" s="1"/>
      <c r="L62" s="1"/>
      <c r="M62" s="1"/>
      <c r="N62" s="1"/>
      <c r="O62" s="1"/>
      <c r="P62" s="1"/>
      <c r="Q62" s="1"/>
      <c r="R62" s="1"/>
      <c r="S62" s="1"/>
    </row>
    <row r="63" spans="1:19" hidden="1">
      <c r="A63" s="226">
        <v>41518</v>
      </c>
      <c r="B63" s="213">
        <v>3</v>
      </c>
      <c r="C63" s="213">
        <v>2.27</v>
      </c>
      <c r="D63" s="213">
        <v>2.5099251412679546</v>
      </c>
      <c r="E63" s="213">
        <v>-1.33</v>
      </c>
      <c r="F63" s="215">
        <v>1914.65</v>
      </c>
      <c r="G63" s="213">
        <v>6.338724368515769</v>
      </c>
      <c r="H63" s="214">
        <v>6.0317326603834154</v>
      </c>
      <c r="J63" s="1"/>
      <c r="K63" s="1"/>
      <c r="L63" s="1"/>
      <c r="M63" s="1"/>
      <c r="N63" s="1"/>
      <c r="O63" s="1"/>
      <c r="P63" s="1"/>
      <c r="Q63" s="1"/>
      <c r="R63" s="1"/>
      <c r="S63" s="1"/>
    </row>
    <row r="64" spans="1:19" hidden="1">
      <c r="A64" s="226">
        <v>41548</v>
      </c>
      <c r="B64" s="213">
        <v>3</v>
      </c>
      <c r="C64" s="213">
        <v>1.84</v>
      </c>
      <c r="D64" s="213">
        <v>2.4184668256876929</v>
      </c>
      <c r="E64" s="213">
        <v>-1.9</v>
      </c>
      <c r="F64" s="215">
        <v>1884.06</v>
      </c>
      <c r="G64" s="213">
        <v>2.9602872303799543</v>
      </c>
      <c r="H64" s="214">
        <v>4.8701736815674801</v>
      </c>
      <c r="J64" s="1"/>
      <c r="K64" s="1"/>
      <c r="L64" s="1"/>
      <c r="M64" s="1"/>
      <c r="N64" s="1"/>
      <c r="O64" s="1"/>
      <c r="P64" s="1"/>
      <c r="Q64" s="1"/>
      <c r="R64" s="1"/>
      <c r="S64" s="1"/>
    </row>
    <row r="65" spans="1:19" hidden="1">
      <c r="A65" s="226">
        <v>41579</v>
      </c>
      <c r="B65" s="213">
        <v>3</v>
      </c>
      <c r="C65" s="213">
        <v>1.76</v>
      </c>
      <c r="D65" s="213">
        <v>2.3046463183193477</v>
      </c>
      <c r="E65" s="213">
        <v>-1.33</v>
      </c>
      <c r="F65" s="215">
        <v>1931.88</v>
      </c>
      <c r="G65" s="213">
        <v>6.268118134361611</v>
      </c>
      <c r="H65" s="214">
        <v>4.8168132572976141</v>
      </c>
      <c r="J65" s="1"/>
      <c r="K65" s="1"/>
      <c r="L65" s="1"/>
      <c r="M65" s="1"/>
      <c r="N65" s="1"/>
      <c r="O65" s="1"/>
      <c r="P65" s="1"/>
      <c r="Q65" s="1"/>
      <c r="R65" s="1"/>
      <c r="S65" s="1"/>
    </row>
    <row r="66" spans="1:19" hidden="1">
      <c r="A66" s="226">
        <v>41609</v>
      </c>
      <c r="B66" s="213">
        <v>3</v>
      </c>
      <c r="C66" s="213">
        <v>1.94</v>
      </c>
      <c r="D66" s="213">
        <v>2.4619227415656031</v>
      </c>
      <c r="E66" s="213">
        <v>-0.49</v>
      </c>
      <c r="F66" s="215">
        <v>1926.83</v>
      </c>
      <c r="G66" s="213">
        <v>8.9694213987999269</v>
      </c>
      <c r="H66" s="214">
        <v>6.1538308470996839</v>
      </c>
      <c r="J66" s="1"/>
      <c r="K66" s="1"/>
      <c r="L66" s="1"/>
      <c r="M66" s="1"/>
      <c r="N66" s="1"/>
      <c r="O66" s="1"/>
      <c r="P66" s="1"/>
      <c r="Q66" s="1"/>
      <c r="R66" s="1"/>
      <c r="S66" s="1"/>
    </row>
    <row r="67" spans="1:19" hidden="1">
      <c r="A67" s="226">
        <v>41640</v>
      </c>
      <c r="B67" s="213">
        <v>3</v>
      </c>
      <c r="C67" s="213">
        <v>2.13</v>
      </c>
      <c r="D67" s="213">
        <v>2.5815226338145481</v>
      </c>
      <c r="E67" s="213">
        <v>0.22</v>
      </c>
      <c r="F67" s="215">
        <v>2008.26</v>
      </c>
      <c r="G67" s="213">
        <v>13.25</v>
      </c>
      <c r="H67" s="214">
        <v>7.3550844271661475</v>
      </c>
      <c r="J67" s="1"/>
      <c r="K67" s="1"/>
      <c r="L67" s="1"/>
      <c r="M67" s="1"/>
      <c r="N67" s="1"/>
      <c r="O67" s="1"/>
      <c r="P67" s="1"/>
      <c r="Q67" s="1"/>
      <c r="R67" s="1"/>
      <c r="S67" s="1"/>
    </row>
    <row r="68" spans="1:19" hidden="1">
      <c r="A68" s="226">
        <v>41671</v>
      </c>
      <c r="B68" s="213">
        <v>3</v>
      </c>
      <c r="C68" s="213">
        <v>2.3199999999999998</v>
      </c>
      <c r="D68" s="213">
        <v>2.6781491060374307</v>
      </c>
      <c r="E68" s="213">
        <v>1.27</v>
      </c>
      <c r="F68" s="215">
        <v>2054.9</v>
      </c>
      <c r="G68" s="213">
        <v>13.13</v>
      </c>
      <c r="H68" s="214">
        <v>10.06284285768726</v>
      </c>
      <c r="J68" s="1"/>
      <c r="K68" s="1"/>
      <c r="L68" s="1"/>
      <c r="M68" s="1"/>
      <c r="N68" s="1"/>
      <c r="O68" s="1"/>
      <c r="P68" s="1"/>
      <c r="Q68" s="1"/>
      <c r="R68" s="1"/>
      <c r="S68" s="1"/>
    </row>
    <row r="69" spans="1:19" hidden="1">
      <c r="A69" s="226">
        <v>41699</v>
      </c>
      <c r="B69" s="213">
        <v>3</v>
      </c>
      <c r="C69" s="213">
        <v>2.5099999999999998</v>
      </c>
      <c r="D69" s="213">
        <v>2.785907435342172</v>
      </c>
      <c r="E69" s="213">
        <v>2.63</v>
      </c>
      <c r="F69" s="215">
        <v>1965.32</v>
      </c>
      <c r="G69" s="213">
        <v>7.27</v>
      </c>
      <c r="H69" s="214">
        <v>7.8645238484796209</v>
      </c>
      <c r="J69" s="1"/>
      <c r="K69" s="1"/>
      <c r="L69" s="1"/>
      <c r="M69" s="1"/>
      <c r="N69" s="1"/>
      <c r="O69" s="1"/>
      <c r="P69" s="1"/>
      <c r="Q69" s="1"/>
      <c r="R69" s="1"/>
      <c r="S69" s="1"/>
    </row>
    <row r="70" spans="1:19" hidden="1">
      <c r="A70" s="226">
        <v>41730</v>
      </c>
      <c r="B70" s="213">
        <v>3</v>
      </c>
      <c r="C70" s="213">
        <v>2.72</v>
      </c>
      <c r="D70" s="213">
        <v>2.9476804098431897</v>
      </c>
      <c r="E70" s="213">
        <v>3.4</v>
      </c>
      <c r="F70" s="215">
        <v>1935.14</v>
      </c>
      <c r="G70" s="213">
        <v>5.82</v>
      </c>
      <c r="H70" s="214">
        <v>1.9857522574342923</v>
      </c>
      <c r="J70" s="1"/>
      <c r="K70" s="1"/>
      <c r="L70" s="1"/>
      <c r="M70" s="1"/>
      <c r="N70" s="1"/>
      <c r="O70" s="1"/>
      <c r="P70" s="1"/>
      <c r="Q70" s="1"/>
      <c r="R70" s="1"/>
      <c r="S70" s="1"/>
    </row>
    <row r="71" spans="1:19" hidden="1">
      <c r="A71" s="226">
        <v>41760</v>
      </c>
      <c r="B71" s="213">
        <v>3</v>
      </c>
      <c r="C71" s="213">
        <v>2.93</v>
      </c>
      <c r="D71" s="213">
        <v>2.8714947791180556</v>
      </c>
      <c r="E71" s="213">
        <v>3.08</v>
      </c>
      <c r="F71" s="215">
        <v>1900.64</v>
      </c>
      <c r="G71" s="213">
        <v>0.48</v>
      </c>
      <c r="H71" s="214">
        <v>0.49872652409124196</v>
      </c>
      <c r="J71" s="1"/>
      <c r="K71" s="1"/>
      <c r="L71" s="1"/>
      <c r="M71" s="1"/>
      <c r="N71" s="1"/>
      <c r="O71" s="1"/>
      <c r="P71" s="1"/>
      <c r="Q71" s="1"/>
      <c r="R71" s="1"/>
      <c r="S71" s="1"/>
    </row>
    <row r="72" spans="1:19" hidden="1">
      <c r="A72" s="226">
        <v>41791</v>
      </c>
      <c r="B72" s="213">
        <v>3</v>
      </c>
      <c r="C72" s="213">
        <v>2.79</v>
      </c>
      <c r="D72" s="213">
        <v>2.7533175731517812</v>
      </c>
      <c r="E72" s="213">
        <v>2.4900000000000002</v>
      </c>
      <c r="F72" s="215">
        <v>1881.19</v>
      </c>
      <c r="G72" s="213">
        <v>-2.48</v>
      </c>
      <c r="H72" s="214">
        <v>-2.9221823401883729</v>
      </c>
      <c r="J72" s="1"/>
      <c r="K72" s="1"/>
      <c r="L72" s="1"/>
      <c r="M72" s="1"/>
      <c r="N72" s="1"/>
      <c r="O72" s="1"/>
      <c r="P72" s="1"/>
      <c r="Q72" s="1"/>
      <c r="R72" s="1"/>
      <c r="S72" s="1"/>
    </row>
    <row r="73" spans="1:19" hidden="1">
      <c r="A73" s="226">
        <v>41821</v>
      </c>
      <c r="B73" s="213">
        <v>3</v>
      </c>
      <c r="C73" s="213">
        <v>2.89</v>
      </c>
      <c r="D73" s="213">
        <v>2.8269627384060803</v>
      </c>
      <c r="E73" s="213">
        <v>2.2599999999999998</v>
      </c>
      <c r="F73" s="215">
        <v>1872.43</v>
      </c>
      <c r="G73" s="213">
        <v>-0.95</v>
      </c>
      <c r="H73" s="214">
        <v>-3.8133375678157333</v>
      </c>
      <c r="J73" s="1"/>
      <c r="K73" s="1"/>
      <c r="L73" s="1"/>
      <c r="M73" s="1"/>
      <c r="N73" s="1"/>
      <c r="O73" s="1"/>
      <c r="P73" s="1"/>
      <c r="Q73" s="1"/>
      <c r="R73" s="1"/>
      <c r="S73" s="1"/>
    </row>
    <row r="74" spans="1:19" hidden="1">
      <c r="A74" s="226">
        <v>41852</v>
      </c>
      <c r="B74" s="213">
        <v>3</v>
      </c>
      <c r="C74" s="213">
        <v>3.02</v>
      </c>
      <c r="D74" s="213">
        <v>2.9100240316419779</v>
      </c>
      <c r="E74" s="213">
        <v>2.96</v>
      </c>
      <c r="F74" s="215">
        <v>1918.62</v>
      </c>
      <c r="G74" s="213">
        <v>-0.87</v>
      </c>
      <c r="H74" s="214">
        <v>-3.0455586454082195</v>
      </c>
      <c r="J74" s="1"/>
      <c r="K74" s="1"/>
      <c r="L74" s="1"/>
      <c r="M74" s="1"/>
      <c r="N74" s="1"/>
      <c r="O74" s="1"/>
      <c r="P74" s="1"/>
      <c r="Q74" s="1"/>
      <c r="R74" s="1"/>
      <c r="S74" s="1"/>
    </row>
    <row r="75" spans="1:19" hidden="1">
      <c r="A75" s="226">
        <v>41883</v>
      </c>
      <c r="B75" s="213">
        <v>3</v>
      </c>
      <c r="C75" s="213">
        <v>2.86</v>
      </c>
      <c r="D75" s="213">
        <v>2.7603617222238253</v>
      </c>
      <c r="E75" s="213">
        <v>3.66</v>
      </c>
      <c r="F75" s="215">
        <v>2028.48</v>
      </c>
      <c r="G75" s="213">
        <v>5.95</v>
      </c>
      <c r="H75" s="214">
        <v>-2.0536035899209049</v>
      </c>
      <c r="J75" s="1"/>
      <c r="K75" s="1"/>
      <c r="L75" s="1"/>
      <c r="M75" s="1"/>
      <c r="N75" s="1"/>
      <c r="O75" s="1"/>
      <c r="P75" s="1"/>
      <c r="Q75" s="1"/>
      <c r="R75" s="1"/>
      <c r="S75" s="1"/>
    </row>
    <row r="76" spans="1:19" hidden="1">
      <c r="A76" s="226">
        <v>41913</v>
      </c>
      <c r="B76" s="213">
        <v>3</v>
      </c>
      <c r="C76" s="213">
        <v>3.29</v>
      </c>
      <c r="D76" s="213">
        <v>2.9702742845097552</v>
      </c>
      <c r="E76" s="213">
        <v>4.93</v>
      </c>
      <c r="F76" s="215">
        <v>2050.52</v>
      </c>
      <c r="G76" s="213">
        <v>8.84</v>
      </c>
      <c r="H76" s="214">
        <v>0.45312918878104291</v>
      </c>
      <c r="J76" s="1"/>
      <c r="K76" s="1"/>
      <c r="L76" s="1"/>
      <c r="M76" s="1"/>
      <c r="N76" s="1"/>
      <c r="O76" s="1"/>
      <c r="P76" s="1"/>
      <c r="Q76" s="1"/>
      <c r="R76" s="1"/>
      <c r="S76" s="1"/>
    </row>
    <row r="77" spans="1:19" hidden="1">
      <c r="A77" s="226">
        <v>41944</v>
      </c>
      <c r="B77" s="213">
        <v>3</v>
      </c>
      <c r="C77" s="213">
        <v>3.65</v>
      </c>
      <c r="D77" s="213">
        <v>3.2199368262657346</v>
      </c>
      <c r="E77" s="213">
        <v>5.1150783200000003</v>
      </c>
      <c r="F77" s="215">
        <v>2206.19</v>
      </c>
      <c r="G77" s="213">
        <v>14.2</v>
      </c>
      <c r="H77" s="214">
        <v>2.2852862367859883</v>
      </c>
      <c r="J77" s="1"/>
      <c r="K77" s="1"/>
      <c r="L77" s="1"/>
      <c r="M77" s="1"/>
      <c r="N77" s="1"/>
      <c r="O77" s="1"/>
      <c r="P77" s="1"/>
      <c r="Q77" s="1"/>
      <c r="R77" s="1"/>
      <c r="S77" s="1"/>
    </row>
    <row r="78" spans="1:19" hidden="1">
      <c r="A78" s="226">
        <v>41974</v>
      </c>
      <c r="B78" s="213">
        <v>3</v>
      </c>
      <c r="C78" s="213">
        <v>3.66</v>
      </c>
      <c r="D78" s="213">
        <v>3.2841451989137793</v>
      </c>
      <c r="E78" s="213">
        <v>6.3317398899999997</v>
      </c>
      <c r="F78" s="215">
        <v>2392.46</v>
      </c>
      <c r="G78" s="213">
        <v>24.17</v>
      </c>
      <c r="H78" s="214">
        <v>7.5154521631712434</v>
      </c>
      <c r="J78" s="1"/>
      <c r="K78" s="1"/>
      <c r="L78" s="1"/>
      <c r="M78" s="1"/>
      <c r="N78" s="1"/>
      <c r="O78" s="1"/>
      <c r="P78" s="1"/>
      <c r="Q78" s="1"/>
      <c r="R78" s="1"/>
      <c r="S78" s="1"/>
    </row>
    <row r="79" spans="1:19" hidden="1">
      <c r="A79" s="226">
        <v>42005</v>
      </c>
      <c r="B79" s="213">
        <v>3</v>
      </c>
      <c r="C79" s="213">
        <v>3.820621205537944</v>
      </c>
      <c r="D79" s="213">
        <v>3.2443017193342305</v>
      </c>
      <c r="E79" s="213">
        <v>6.3582594000844983</v>
      </c>
      <c r="F79" s="215">
        <v>2441.1</v>
      </c>
      <c r="G79" s="213">
        <v>21.55</v>
      </c>
      <c r="H79" s="214">
        <v>6.1710304529256632</v>
      </c>
      <c r="J79" s="1"/>
      <c r="K79" s="1"/>
      <c r="L79" s="1"/>
      <c r="M79" s="1"/>
      <c r="N79" s="1"/>
      <c r="O79" s="1"/>
      <c r="P79" s="1"/>
      <c r="Q79" s="1"/>
      <c r="R79" s="1"/>
      <c r="S79" s="1"/>
    </row>
    <row r="80" spans="1:19" hidden="1">
      <c r="A80" s="226">
        <v>42036</v>
      </c>
      <c r="B80" s="213">
        <v>3</v>
      </c>
      <c r="C80" s="213">
        <v>4.3600000000000003</v>
      </c>
      <c r="D80" s="213">
        <v>3.4062459422456559</v>
      </c>
      <c r="E80" s="213">
        <v>4.9879995825941714</v>
      </c>
      <c r="F80" s="215">
        <v>2496.9899999999998</v>
      </c>
      <c r="G80" s="213">
        <v>21.51</v>
      </c>
      <c r="H80" s="214">
        <v>0.95833894878587511</v>
      </c>
      <c r="J80" s="1"/>
      <c r="K80" s="1"/>
      <c r="L80" s="1"/>
      <c r="M80" s="1"/>
      <c r="N80" s="1"/>
      <c r="O80" s="1"/>
      <c r="P80" s="1"/>
      <c r="Q80" s="1"/>
      <c r="R80" s="1"/>
      <c r="S80" s="1"/>
    </row>
    <row r="81" spans="1:19" hidden="1">
      <c r="A81" s="226">
        <v>42064</v>
      </c>
      <c r="B81" s="213">
        <v>3</v>
      </c>
      <c r="C81" s="213">
        <v>4.5599999999999996</v>
      </c>
      <c r="D81" s="213">
        <v>3.4721940835219511</v>
      </c>
      <c r="E81" s="213">
        <v>5.109264389042778</v>
      </c>
      <c r="F81" s="215">
        <v>2576.0500000000002</v>
      </c>
      <c r="G81" s="213">
        <v>31.08</v>
      </c>
      <c r="H81" s="214">
        <v>6.3937383645639612</v>
      </c>
      <c r="J81" s="1"/>
      <c r="K81" s="1"/>
      <c r="L81" s="1"/>
      <c r="M81" s="1"/>
      <c r="N81" s="1"/>
      <c r="O81" s="1"/>
      <c r="P81" s="1"/>
      <c r="Q81" s="1"/>
      <c r="R81" s="1"/>
      <c r="S81" s="1"/>
    </row>
    <row r="82" spans="1:19" hidden="1">
      <c r="A82" s="226">
        <v>42095</v>
      </c>
      <c r="B82" s="213">
        <v>3</v>
      </c>
      <c r="C82" s="213">
        <v>4.6399999999999997</v>
      </c>
      <c r="D82" s="213">
        <v>3.5734207704089416</v>
      </c>
      <c r="E82" s="213">
        <v>4.3007457350086709</v>
      </c>
      <c r="F82" s="215">
        <v>2388.06</v>
      </c>
      <c r="G82" s="213">
        <v>23.41</v>
      </c>
      <c r="H82" s="214">
        <v>8.3685164505345142</v>
      </c>
      <c r="J82" s="1"/>
      <c r="K82" s="1"/>
      <c r="L82" s="1"/>
      <c r="M82" s="1"/>
      <c r="N82" s="1"/>
      <c r="O82" s="1"/>
      <c r="P82" s="1"/>
      <c r="Q82" s="1"/>
      <c r="R82" s="1"/>
      <c r="S82" s="1"/>
    </row>
    <row r="83" spans="1:19" hidden="1">
      <c r="A83" s="226">
        <v>42125</v>
      </c>
      <c r="B83" s="213">
        <v>3</v>
      </c>
      <c r="C83" s="213">
        <v>4.41</v>
      </c>
      <c r="D83" s="213">
        <v>3.7965189085413353</v>
      </c>
      <c r="E83" s="213">
        <v>3.7332515086427431</v>
      </c>
      <c r="F83" s="215">
        <v>2533.79</v>
      </c>
      <c r="G83" s="213">
        <v>33.31</v>
      </c>
      <c r="H83" s="214">
        <v>8.7828838942417562</v>
      </c>
      <c r="J83" s="1"/>
      <c r="K83" s="1"/>
      <c r="L83" s="1"/>
      <c r="M83" s="1"/>
      <c r="N83" s="1"/>
      <c r="O83" s="1"/>
      <c r="P83" s="1"/>
      <c r="Q83" s="1"/>
      <c r="R83" s="1"/>
      <c r="S83" s="1"/>
    </row>
    <row r="84" spans="1:19" hidden="1">
      <c r="A84" s="226">
        <v>42156</v>
      </c>
      <c r="B84" s="213">
        <v>3</v>
      </c>
      <c r="C84" s="213">
        <v>4.42</v>
      </c>
      <c r="D84" s="213">
        <v>3.8018588872186454</v>
      </c>
      <c r="E84" s="213">
        <v>5.0082101806239621</v>
      </c>
      <c r="F84" s="215">
        <v>2585.11</v>
      </c>
      <c r="G84" s="213">
        <v>37.42</v>
      </c>
      <c r="H84" s="214">
        <v>14.518999456971549</v>
      </c>
      <c r="J84" s="1"/>
      <c r="K84" s="1"/>
      <c r="L84" s="1"/>
      <c r="M84" s="1"/>
      <c r="N84" s="1"/>
      <c r="O84" s="1"/>
      <c r="P84" s="1"/>
      <c r="Q84" s="1"/>
      <c r="R84" s="1"/>
      <c r="S84" s="1"/>
    </row>
    <row r="85" spans="1:19" hidden="1">
      <c r="A85" s="226">
        <v>42186</v>
      </c>
      <c r="B85" s="213">
        <v>3</v>
      </c>
      <c r="C85" s="213">
        <v>4.46</v>
      </c>
      <c r="D85" s="213">
        <v>4.0353142685855214</v>
      </c>
      <c r="E85" s="213">
        <v>6.4390043200987401</v>
      </c>
      <c r="F85" s="215">
        <v>2866.04</v>
      </c>
      <c r="G85" s="213">
        <v>53.07</v>
      </c>
      <c r="H85" s="214">
        <v>21.581713183406382</v>
      </c>
      <c r="J85" s="1"/>
      <c r="K85" s="1"/>
      <c r="L85" s="1"/>
      <c r="M85" s="1"/>
      <c r="N85" s="1"/>
      <c r="O85" s="1"/>
      <c r="P85" s="1"/>
      <c r="Q85" s="1"/>
      <c r="R85" s="1"/>
      <c r="S85" s="1"/>
    </row>
    <row r="86" spans="1:19" hidden="1">
      <c r="A86" s="226">
        <v>42217</v>
      </c>
      <c r="B86" s="213">
        <v>3</v>
      </c>
      <c r="C86" s="213">
        <v>4.74</v>
      </c>
      <c r="D86" s="213">
        <v>4.2311103829803631</v>
      </c>
      <c r="E86" s="213">
        <v>8.0498518745530703</v>
      </c>
      <c r="F86" s="215">
        <v>3101.1</v>
      </c>
      <c r="G86" s="213">
        <v>61.63</v>
      </c>
      <c r="H86" s="214">
        <v>28.387768340656216</v>
      </c>
      <c r="J86" s="1"/>
      <c r="K86" s="1"/>
      <c r="L86" s="1"/>
      <c r="M86" s="1"/>
      <c r="N86" s="1"/>
      <c r="O86" s="1"/>
      <c r="P86" s="1"/>
      <c r="Q86" s="1"/>
      <c r="R86" s="1"/>
      <c r="S86" s="1"/>
    </row>
    <row r="87" spans="1:19" hidden="1">
      <c r="A87" s="226">
        <v>42248</v>
      </c>
      <c r="B87" s="213">
        <v>3</v>
      </c>
      <c r="C87" s="213">
        <v>5.35</v>
      </c>
      <c r="D87" s="213">
        <v>4.5971835925990412</v>
      </c>
      <c r="E87" s="213">
        <v>8.6991869918699116</v>
      </c>
      <c r="F87" s="215">
        <v>3121.94</v>
      </c>
      <c r="G87" s="213">
        <v>53.91</v>
      </c>
      <c r="H87" s="214">
        <v>25.234008951530051</v>
      </c>
      <c r="J87" s="1"/>
      <c r="K87" s="1"/>
      <c r="L87" s="1"/>
      <c r="M87" s="1"/>
      <c r="N87" s="1"/>
      <c r="O87" s="1"/>
      <c r="P87" s="1"/>
      <c r="Q87" s="1"/>
      <c r="R87" s="1"/>
      <c r="S87" s="1"/>
    </row>
    <row r="88" spans="1:19" hidden="1">
      <c r="A88" s="226">
        <v>42278</v>
      </c>
      <c r="B88" s="213">
        <v>3</v>
      </c>
      <c r="C88" s="213">
        <v>5.89</v>
      </c>
      <c r="D88" s="213">
        <v>4.8049692283510748</v>
      </c>
      <c r="E88" s="213">
        <v>8.195062727640634</v>
      </c>
      <c r="F88" s="215">
        <v>2897.83</v>
      </c>
      <c r="G88" s="213">
        <v>41.32</v>
      </c>
      <c r="H88" s="214">
        <v>17.828574398720743</v>
      </c>
      <c r="J88" s="1"/>
      <c r="K88" s="1"/>
      <c r="L88" s="1"/>
      <c r="M88" s="1"/>
      <c r="N88" s="1"/>
      <c r="O88" s="1"/>
      <c r="P88" s="1"/>
      <c r="Q88" s="1"/>
      <c r="R88" s="1"/>
      <c r="S88" s="1"/>
    </row>
    <row r="89" spans="1:19" hidden="1">
      <c r="A89" s="226">
        <v>42309</v>
      </c>
      <c r="B89" s="213">
        <v>3</v>
      </c>
      <c r="C89" s="213">
        <v>6.39</v>
      </c>
      <c r="D89" s="213">
        <v>5.1152454686359539</v>
      </c>
      <c r="E89" s="213">
        <v>8.9408667476711159</v>
      </c>
      <c r="F89" s="215">
        <v>3101.1</v>
      </c>
      <c r="G89" s="213">
        <v>40.56</v>
      </c>
      <c r="H89" s="214">
        <v>14.740471114206844</v>
      </c>
      <c r="J89" s="1"/>
      <c r="K89" s="1"/>
      <c r="L89" s="1"/>
      <c r="M89" s="1"/>
      <c r="N89" s="1"/>
      <c r="O89" s="1"/>
      <c r="P89" s="1"/>
      <c r="Q89" s="1"/>
      <c r="R89" s="1"/>
      <c r="S89" s="1"/>
    </row>
    <row r="90" spans="1:19" hidden="1">
      <c r="A90" s="226">
        <v>42339</v>
      </c>
      <c r="B90" s="213">
        <v>3</v>
      </c>
      <c r="C90" s="213">
        <v>6.77</v>
      </c>
      <c r="D90" s="213">
        <v>5.2518674261124998</v>
      </c>
      <c r="E90" s="213">
        <v>9.5699999999999896</v>
      </c>
      <c r="F90" s="215">
        <v>3149.47</v>
      </c>
      <c r="G90" s="213">
        <v>31.64</v>
      </c>
      <c r="H90" s="214">
        <v>13.709776497626747</v>
      </c>
      <c r="J90" s="1"/>
      <c r="K90" s="1"/>
      <c r="L90" s="1"/>
      <c r="M90" s="1"/>
      <c r="N90" s="1"/>
      <c r="O90" s="1"/>
      <c r="P90" s="1"/>
      <c r="Q90" s="1"/>
      <c r="R90" s="1"/>
      <c r="S90" s="1"/>
    </row>
    <row r="91" spans="1:19" hidden="1">
      <c r="A91" s="226">
        <v>42370</v>
      </c>
      <c r="B91" s="213">
        <v>3</v>
      </c>
      <c r="C91" s="213">
        <v>7.45</v>
      </c>
      <c r="D91" s="213">
        <v>5.6768004791004856</v>
      </c>
      <c r="E91" s="213">
        <v>9.9999999999999858</v>
      </c>
      <c r="F91" s="215">
        <v>3287.31</v>
      </c>
      <c r="G91" s="213">
        <v>34.67</v>
      </c>
      <c r="H91" s="214">
        <v>13.361902862705977</v>
      </c>
      <c r="J91" s="1"/>
      <c r="K91" s="1"/>
      <c r="L91" s="1"/>
      <c r="M91" s="1"/>
      <c r="N91" s="1"/>
      <c r="O91" s="1"/>
      <c r="P91" s="1"/>
      <c r="Q91" s="1"/>
      <c r="R91" s="1"/>
      <c r="S91" s="1"/>
    </row>
    <row r="92" spans="1:19" hidden="1">
      <c r="A92" s="226">
        <v>42401</v>
      </c>
      <c r="B92" s="213">
        <v>3</v>
      </c>
      <c r="C92" s="213">
        <v>7.59</v>
      </c>
      <c r="D92" s="213">
        <v>6.0134200811818417</v>
      </c>
      <c r="E92" s="213">
        <v>11.01</v>
      </c>
      <c r="F92" s="215">
        <v>3306</v>
      </c>
      <c r="G92" s="213">
        <v>32.4</v>
      </c>
      <c r="H92" s="214">
        <v>17.412336684199548</v>
      </c>
      <c r="J92" s="1"/>
      <c r="K92" s="1"/>
      <c r="L92" s="1"/>
      <c r="M92" s="1"/>
      <c r="N92" s="1"/>
      <c r="O92" s="1"/>
      <c r="P92" s="1"/>
      <c r="Q92" s="1"/>
      <c r="R92" s="1"/>
      <c r="S92" s="1"/>
    </row>
    <row r="93" spans="1:19" hidden="1">
      <c r="A93" s="226">
        <v>42430</v>
      </c>
      <c r="B93" s="213">
        <v>3</v>
      </c>
      <c r="C93" s="213">
        <v>7.98</v>
      </c>
      <c r="D93" s="213">
        <v>6.3493905718384092</v>
      </c>
      <c r="E93" s="213">
        <v>8.56</v>
      </c>
      <c r="F93" s="215">
        <v>3022.35</v>
      </c>
      <c r="G93" s="213">
        <v>17.32</v>
      </c>
      <c r="H93" s="214">
        <v>8.9206990080528783</v>
      </c>
      <c r="J93" s="1"/>
      <c r="K93" s="1"/>
      <c r="L93" s="1"/>
      <c r="M93" s="1"/>
      <c r="N93" s="1"/>
      <c r="O93" s="1"/>
      <c r="P93" s="1"/>
      <c r="Q93" s="1"/>
      <c r="R93" s="1"/>
      <c r="S93" s="1"/>
    </row>
    <row r="94" spans="1:19" hidden="1">
      <c r="A94" s="226">
        <v>42461</v>
      </c>
      <c r="B94" s="213">
        <v>3</v>
      </c>
      <c r="C94" s="213">
        <v>7.93</v>
      </c>
      <c r="D94" s="213">
        <v>6.1838808329924388</v>
      </c>
      <c r="E94" s="213">
        <v>8.58</v>
      </c>
      <c r="F94" s="215">
        <v>2851.14</v>
      </c>
      <c r="G94" s="213">
        <v>19.39</v>
      </c>
      <c r="H94" s="214">
        <v>7.7018812392126712</v>
      </c>
      <c r="J94" s="1"/>
      <c r="K94" s="1"/>
      <c r="L94" s="1"/>
      <c r="M94" s="1"/>
      <c r="N94" s="1"/>
      <c r="O94" s="1"/>
      <c r="P94" s="1"/>
      <c r="Q94" s="1"/>
      <c r="R94" s="1"/>
      <c r="S94" s="1"/>
    </row>
    <row r="95" spans="1:19" hidden="1">
      <c r="A95" s="226">
        <v>42491</v>
      </c>
      <c r="B95" s="213">
        <v>3</v>
      </c>
      <c r="C95" s="213">
        <v>8.1999999999999993</v>
      </c>
      <c r="D95" s="213">
        <v>6.2709463344143623</v>
      </c>
      <c r="E95" s="213">
        <v>9.9600000000000009</v>
      </c>
      <c r="F95" s="215">
        <v>3069.17</v>
      </c>
      <c r="G95" s="213">
        <v>21.13</v>
      </c>
      <c r="H95" s="214">
        <v>7.1070342244774043</v>
      </c>
      <c r="J95" s="1"/>
      <c r="K95" s="1"/>
      <c r="L95" s="1"/>
      <c r="M95" s="1"/>
      <c r="N95" s="1"/>
      <c r="O95" s="1"/>
      <c r="P95" s="1"/>
      <c r="Q95" s="1"/>
      <c r="R95" s="1"/>
      <c r="S95" s="1"/>
    </row>
    <row r="96" spans="1:19" hidden="1">
      <c r="A96" s="226">
        <v>42522</v>
      </c>
      <c r="B96" s="213">
        <v>3</v>
      </c>
      <c r="C96" s="213">
        <v>8.6</v>
      </c>
      <c r="D96" s="213">
        <v>6.5126113141577457</v>
      </c>
      <c r="E96" s="213">
        <v>9.64</v>
      </c>
      <c r="F96" s="215">
        <v>2916.15</v>
      </c>
      <c r="G96" s="213">
        <v>12.81</v>
      </c>
      <c r="H96" s="214">
        <v>2.6651607038458369</v>
      </c>
      <c r="J96" s="1"/>
      <c r="K96" s="1"/>
      <c r="L96" s="1"/>
      <c r="M96" s="1"/>
      <c r="N96" s="1"/>
      <c r="O96" s="1"/>
      <c r="P96" s="1"/>
      <c r="Q96" s="1"/>
      <c r="R96" s="1"/>
      <c r="S96" s="1"/>
    </row>
    <row r="97" spans="1:19" hidden="1">
      <c r="A97" s="226">
        <v>42552</v>
      </c>
      <c r="B97" s="213">
        <v>3</v>
      </c>
      <c r="C97" s="213">
        <v>8.9700000000000006</v>
      </c>
      <c r="D97" s="213">
        <v>6.5058338905913837</v>
      </c>
      <c r="E97" s="213">
        <v>8.3800000000000008</v>
      </c>
      <c r="F97" s="215">
        <v>3081.75</v>
      </c>
      <c r="G97" s="213">
        <v>7.53</v>
      </c>
      <c r="H97" s="214">
        <v>-2.7245634657306117</v>
      </c>
      <c r="J97" s="1"/>
      <c r="K97" s="1"/>
      <c r="L97" s="1"/>
      <c r="M97" s="1"/>
      <c r="N97" s="1"/>
      <c r="O97" s="1"/>
      <c r="P97" s="1"/>
      <c r="Q97" s="1"/>
      <c r="R97" s="1"/>
      <c r="S97" s="1"/>
    </row>
    <row r="98" spans="1:19" hidden="1">
      <c r="A98" s="226">
        <v>42583</v>
      </c>
      <c r="B98" s="213">
        <v>3</v>
      </c>
      <c r="C98" s="213">
        <v>8.1</v>
      </c>
      <c r="D98" s="213">
        <v>6.4193103459781131</v>
      </c>
      <c r="E98" s="213">
        <v>4.8899999999999997</v>
      </c>
      <c r="F98" s="215">
        <v>2933.82</v>
      </c>
      <c r="G98" s="213">
        <v>-5.39</v>
      </c>
      <c r="H98" s="214">
        <v>-7.2220676306564808</v>
      </c>
      <c r="J98" s="1"/>
      <c r="K98" s="1"/>
      <c r="L98" s="1"/>
      <c r="M98" s="1"/>
      <c r="N98" s="1"/>
      <c r="O98" s="1"/>
      <c r="P98" s="1"/>
      <c r="Q98" s="1"/>
      <c r="R98" s="1"/>
      <c r="S98" s="1"/>
    </row>
    <row r="99" spans="1:19" hidden="1">
      <c r="A99" s="226">
        <v>42614</v>
      </c>
      <c r="B99" s="213">
        <v>3</v>
      </c>
      <c r="C99" s="213">
        <v>7.27</v>
      </c>
      <c r="D99" s="213">
        <v>6.2788216864979374</v>
      </c>
      <c r="E99" s="213">
        <v>3.3844427823485512</v>
      </c>
      <c r="F99" s="215">
        <v>2879.95</v>
      </c>
      <c r="G99" s="213">
        <v>-7.75</v>
      </c>
      <c r="H99" s="214">
        <v>-8.1649031987052538</v>
      </c>
      <c r="J99" s="1"/>
      <c r="K99" s="1"/>
      <c r="L99" s="1"/>
      <c r="M99" s="1"/>
      <c r="N99" s="1"/>
      <c r="O99" s="1"/>
      <c r="P99" s="1"/>
      <c r="Q99" s="1"/>
      <c r="R99" s="1"/>
      <c r="S99" s="1"/>
    </row>
    <row r="100" spans="1:19" hidden="1">
      <c r="A100" s="226">
        <v>42644</v>
      </c>
      <c r="B100" s="213">
        <v>3</v>
      </c>
      <c r="C100" s="213">
        <v>6.48</v>
      </c>
      <c r="D100" s="213">
        <v>5.9746358624290341</v>
      </c>
      <c r="E100" s="213">
        <v>3.48</v>
      </c>
      <c r="F100" s="215">
        <v>2967.66</v>
      </c>
      <c r="G100" s="213">
        <v>2.41</v>
      </c>
      <c r="H100" s="214">
        <v>-3.8230031154583011</v>
      </c>
      <c r="J100" s="1"/>
      <c r="K100" s="1"/>
      <c r="L100" s="1"/>
      <c r="M100" s="1"/>
      <c r="N100" s="1"/>
      <c r="O100" s="1"/>
      <c r="P100" s="1"/>
      <c r="Q100" s="1"/>
      <c r="R100" s="1"/>
      <c r="S100" s="1"/>
    </row>
    <row r="101" spans="1:19" hidden="1">
      <c r="A101" s="226">
        <v>42675</v>
      </c>
      <c r="B101" s="213">
        <v>3</v>
      </c>
      <c r="C101" s="213">
        <v>5.96</v>
      </c>
      <c r="D101" s="213">
        <v>5.6493990820348783</v>
      </c>
      <c r="E101" s="213">
        <v>3.91</v>
      </c>
      <c r="F101" s="215">
        <v>3165.09</v>
      </c>
      <c r="G101" s="213">
        <v>2.06</v>
      </c>
      <c r="H101" s="214">
        <v>-0.18402036751470341</v>
      </c>
      <c r="J101" s="1"/>
      <c r="K101" s="1"/>
      <c r="L101" s="1"/>
      <c r="M101" s="1"/>
      <c r="N101" s="1"/>
      <c r="O101" s="1"/>
      <c r="P101" s="1"/>
      <c r="Q101" s="1"/>
      <c r="R101" s="1"/>
      <c r="S101" s="1"/>
    </row>
    <row r="102" spans="1:19" hidden="1">
      <c r="A102" s="226">
        <v>42705</v>
      </c>
      <c r="B102" s="213">
        <v>3</v>
      </c>
      <c r="C102" s="213">
        <v>5.75</v>
      </c>
      <c r="D102" s="213">
        <v>5.5131207494701684</v>
      </c>
      <c r="E102" s="213">
        <v>1.62</v>
      </c>
      <c r="F102" s="215">
        <v>3000.71</v>
      </c>
      <c r="G102" s="213">
        <v>-4.72</v>
      </c>
      <c r="H102" s="214">
        <v>-7.4375722463916549</v>
      </c>
      <c r="J102" s="1"/>
      <c r="K102" s="1"/>
      <c r="L102" s="1"/>
      <c r="M102" s="1"/>
      <c r="N102" s="1"/>
      <c r="O102" s="1"/>
      <c r="P102" s="1"/>
      <c r="Q102" s="1"/>
      <c r="R102" s="1"/>
      <c r="S102" s="1"/>
    </row>
    <row r="103" spans="1:19" hidden="1">
      <c r="A103" s="226">
        <v>42736</v>
      </c>
      <c r="B103" s="213">
        <v>3</v>
      </c>
      <c r="C103" s="213">
        <v>5.47</v>
      </c>
      <c r="D103" s="213">
        <v>5.7028647815510869</v>
      </c>
      <c r="E103" s="213">
        <v>0.88</v>
      </c>
      <c r="F103" s="215">
        <v>2936.66</v>
      </c>
      <c r="G103" s="213">
        <v>-10.67</v>
      </c>
      <c r="H103" s="214">
        <v>-7.4843824393500906</v>
      </c>
      <c r="J103" s="1"/>
      <c r="K103" s="1"/>
      <c r="L103" s="1"/>
      <c r="M103" s="1"/>
      <c r="N103" s="1"/>
      <c r="O103" s="1"/>
      <c r="P103" s="1"/>
      <c r="Q103" s="1"/>
      <c r="R103" s="1"/>
      <c r="S103" s="1"/>
    </row>
    <row r="104" spans="1:19" hidden="1">
      <c r="A104" s="226">
        <v>42767</v>
      </c>
      <c r="B104" s="213">
        <v>3</v>
      </c>
      <c r="C104" s="213">
        <v>5.18</v>
      </c>
      <c r="D104" s="213">
        <v>5.6326822783246744</v>
      </c>
      <c r="E104" s="213">
        <v>-0.17</v>
      </c>
      <c r="F104" s="215">
        <v>2896.27</v>
      </c>
      <c r="G104" s="213">
        <v>-12.39</v>
      </c>
      <c r="H104" s="214">
        <v>-9.5666529803634663</v>
      </c>
      <c r="J104" s="1"/>
      <c r="K104" s="1"/>
      <c r="L104" s="1"/>
      <c r="M104" s="1"/>
      <c r="N104" s="1"/>
      <c r="O104" s="1"/>
      <c r="P104" s="1"/>
      <c r="Q104" s="1"/>
      <c r="R104" s="1"/>
      <c r="S104" s="1"/>
    </row>
    <row r="105" spans="1:19" hidden="1">
      <c r="A105" s="226">
        <v>42795</v>
      </c>
      <c r="B105" s="213">
        <v>3</v>
      </c>
      <c r="C105" s="213">
        <v>4.6900000000000004</v>
      </c>
      <c r="D105" s="213">
        <v>5.5546226920740072</v>
      </c>
      <c r="E105" s="213">
        <v>0.55000000000000004</v>
      </c>
      <c r="F105" s="215">
        <v>2880.24</v>
      </c>
      <c r="G105" s="213">
        <v>-4.7</v>
      </c>
      <c r="H105" s="214">
        <v>-3.3352031446951313</v>
      </c>
      <c r="J105" s="1"/>
      <c r="K105" s="1"/>
      <c r="L105" s="1"/>
      <c r="M105" s="1"/>
      <c r="N105" s="1"/>
      <c r="O105" s="1"/>
      <c r="P105" s="1"/>
      <c r="Q105" s="1"/>
      <c r="R105" s="1"/>
      <c r="S105" s="1"/>
    </row>
    <row r="106" spans="1:19" hidden="1">
      <c r="A106" s="226">
        <v>42826</v>
      </c>
      <c r="B106" s="213">
        <v>3</v>
      </c>
      <c r="C106" s="213">
        <v>4.66</v>
      </c>
      <c r="D106" s="213">
        <v>5.8802708824705618</v>
      </c>
      <c r="E106" s="213">
        <v>0.39</v>
      </c>
      <c r="F106" s="215">
        <v>2947.85</v>
      </c>
      <c r="G106" s="213">
        <v>3.39</v>
      </c>
      <c r="H106" s="214">
        <v>-1.2394514807019585</v>
      </c>
      <c r="J106" s="1"/>
      <c r="K106" s="1"/>
      <c r="L106" s="1"/>
      <c r="M106" s="1"/>
      <c r="N106" s="1"/>
      <c r="O106" s="1"/>
      <c r="P106" s="1"/>
      <c r="Q106" s="1"/>
      <c r="R106" s="1"/>
      <c r="S106" s="1"/>
    </row>
    <row r="107" spans="1:19" hidden="1">
      <c r="A107" s="226">
        <v>42856</v>
      </c>
      <c r="B107" s="213">
        <v>3</v>
      </c>
      <c r="C107" s="213">
        <v>4.37</v>
      </c>
      <c r="D107" s="213">
        <v>5.6240886168834159</v>
      </c>
      <c r="E107" s="213">
        <v>-0.16</v>
      </c>
      <c r="F107" s="215">
        <v>2920.42</v>
      </c>
      <c r="G107" s="213">
        <v>-4.8499999999999996</v>
      </c>
      <c r="H107" s="214">
        <v>1.3304844010003647</v>
      </c>
      <c r="J107" s="1"/>
      <c r="K107" s="1"/>
      <c r="L107" s="1"/>
      <c r="M107" s="1"/>
      <c r="N107" s="1"/>
      <c r="O107" s="1"/>
      <c r="P107" s="1"/>
      <c r="Q107" s="1"/>
      <c r="R107" s="1"/>
      <c r="S107" s="1"/>
    </row>
    <row r="108" spans="1:19" hidden="1">
      <c r="A108" s="226">
        <v>42887</v>
      </c>
      <c r="B108" s="213">
        <v>3</v>
      </c>
      <c r="C108" s="213">
        <v>3.99</v>
      </c>
      <c r="D108" s="213">
        <v>5.4013247452072255</v>
      </c>
      <c r="E108" s="213">
        <v>-0.83</v>
      </c>
      <c r="F108" s="215">
        <v>3038.26</v>
      </c>
      <c r="G108" s="213">
        <v>4.1900000000000004</v>
      </c>
      <c r="H108" s="214">
        <v>2.4178605674992415</v>
      </c>
      <c r="J108" s="1"/>
      <c r="K108" s="1"/>
      <c r="L108" s="1"/>
      <c r="M108" s="1"/>
      <c r="N108" s="1"/>
      <c r="O108" s="1"/>
      <c r="P108" s="1"/>
      <c r="Q108" s="1"/>
      <c r="R108" s="1"/>
      <c r="S108" s="1"/>
    </row>
    <row r="109" spans="1:19" hidden="1">
      <c r="A109" s="226">
        <v>42917</v>
      </c>
      <c r="B109" s="213">
        <v>3</v>
      </c>
      <c r="C109" s="213">
        <v>3.4</v>
      </c>
      <c r="D109" s="213">
        <v>5.0517345536767788</v>
      </c>
      <c r="E109" s="213">
        <v>-0.3</v>
      </c>
      <c r="F109" s="215">
        <v>2995.23</v>
      </c>
      <c r="G109" s="213">
        <v>-2.81</v>
      </c>
      <c r="H109" s="214">
        <v>6.2031422284100524</v>
      </c>
      <c r="J109" s="1"/>
      <c r="K109" s="1"/>
      <c r="L109" s="1"/>
      <c r="M109" s="1"/>
      <c r="N109" s="1"/>
      <c r="O109" s="1"/>
      <c r="P109" s="1"/>
      <c r="Q109" s="1"/>
      <c r="R109" s="1"/>
      <c r="S109" s="1"/>
    </row>
    <row r="110" spans="1:19" hidden="1">
      <c r="A110" s="226">
        <v>42948</v>
      </c>
      <c r="B110" s="213">
        <v>3</v>
      </c>
      <c r="C110" s="213">
        <v>3.87</v>
      </c>
      <c r="D110" s="213">
        <v>4.9786416732077621</v>
      </c>
      <c r="E110" s="213">
        <v>0.95</v>
      </c>
      <c r="F110" s="215">
        <v>2937.09</v>
      </c>
      <c r="G110" s="213">
        <v>0.11</v>
      </c>
      <c r="H110" s="214">
        <v>3.2153101630309822</v>
      </c>
      <c r="J110" s="1"/>
      <c r="K110" s="1"/>
      <c r="L110" s="1"/>
      <c r="M110" s="1"/>
      <c r="N110" s="1"/>
      <c r="O110" s="1"/>
      <c r="P110" s="1"/>
      <c r="Q110" s="1"/>
      <c r="R110" s="1"/>
      <c r="S110" s="1"/>
    </row>
    <row r="111" spans="1:19" hidden="1">
      <c r="A111" s="226">
        <v>42979</v>
      </c>
      <c r="B111" s="213">
        <v>3</v>
      </c>
      <c r="C111" s="213">
        <v>3.97</v>
      </c>
      <c r="D111" s="213">
        <v>4.8601981133434835</v>
      </c>
      <c r="E111" s="213">
        <v>1.17</v>
      </c>
      <c r="F111" s="215">
        <v>2936.67</v>
      </c>
      <c r="G111" s="213">
        <v>1.97</v>
      </c>
      <c r="H111" s="214">
        <v>3.8680817018522218</v>
      </c>
      <c r="J111" s="1"/>
      <c r="K111" s="1"/>
      <c r="L111" s="1"/>
      <c r="M111" s="1"/>
      <c r="N111" s="1"/>
      <c r="O111" s="1"/>
      <c r="P111" s="1"/>
      <c r="Q111" s="1"/>
      <c r="R111" s="1"/>
      <c r="S111" s="1"/>
    </row>
    <row r="112" spans="1:19" hidden="1">
      <c r="A112" s="226">
        <v>43009</v>
      </c>
      <c r="B112" s="213">
        <v>3</v>
      </c>
      <c r="C112" s="213">
        <v>4.05</v>
      </c>
      <c r="D112" s="213">
        <v>4.8213990610075586</v>
      </c>
      <c r="E112" s="213">
        <v>1.38</v>
      </c>
      <c r="F112" s="215">
        <v>3011.44</v>
      </c>
      <c r="G112" s="213">
        <v>1.48</v>
      </c>
      <c r="H112" s="214">
        <v>4.1286695463334633</v>
      </c>
      <c r="J112" s="1"/>
      <c r="K112" s="1"/>
      <c r="L112" s="1"/>
      <c r="M112" s="1"/>
      <c r="N112" s="1"/>
      <c r="O112" s="1"/>
      <c r="P112" s="1"/>
      <c r="Q112" s="1"/>
      <c r="R112" s="1"/>
      <c r="S112" s="1"/>
    </row>
    <row r="113" spans="1:19" hidden="1">
      <c r="A113" s="226">
        <v>43040</v>
      </c>
      <c r="B113" s="213">
        <v>3</v>
      </c>
      <c r="C113" s="213">
        <v>4.12</v>
      </c>
      <c r="D113" s="213">
        <v>4.9053102070892418</v>
      </c>
      <c r="E113" s="213">
        <v>1.31</v>
      </c>
      <c r="F113" s="215">
        <v>3006.09</v>
      </c>
      <c r="G113" s="213">
        <v>-5.0199999999999996</v>
      </c>
      <c r="H113" s="214">
        <v>2.1988413896666836</v>
      </c>
      <c r="J113" s="1"/>
      <c r="K113" s="1"/>
      <c r="L113" s="1"/>
      <c r="M113" s="1"/>
      <c r="N113" s="1"/>
      <c r="O113" s="1"/>
      <c r="P113" s="1"/>
      <c r="Q113" s="1"/>
      <c r="R113" s="1"/>
      <c r="S113" s="1"/>
    </row>
    <row r="114" spans="1:19" hidden="1">
      <c r="A114" s="226">
        <v>43070</v>
      </c>
      <c r="B114" s="213">
        <v>3</v>
      </c>
      <c r="C114" s="213">
        <v>4.09</v>
      </c>
      <c r="D114" s="213">
        <v>5.0304591297459789</v>
      </c>
      <c r="E114" s="213">
        <v>1.85</v>
      </c>
      <c r="F114" s="218">
        <v>2984</v>
      </c>
      <c r="G114" s="219">
        <v>-0.56000000000000005</v>
      </c>
      <c r="H114" s="214">
        <v>4.7138095724830853</v>
      </c>
      <c r="J114" s="1"/>
      <c r="K114" s="1"/>
      <c r="L114" s="1"/>
      <c r="M114" s="1"/>
      <c r="N114" s="1"/>
      <c r="O114" s="1"/>
      <c r="P114" s="1"/>
      <c r="Q114" s="1"/>
      <c r="R114" s="1"/>
      <c r="S114" s="1"/>
    </row>
    <row r="115" spans="1:19" hidden="1">
      <c r="A115" s="226">
        <v>43101</v>
      </c>
      <c r="B115" s="213">
        <v>3</v>
      </c>
      <c r="C115" s="213">
        <v>3.68</v>
      </c>
      <c r="D115" s="213">
        <v>4.5464526873925548</v>
      </c>
      <c r="E115" s="213">
        <v>1.41</v>
      </c>
      <c r="F115" s="218">
        <v>2844.14</v>
      </c>
      <c r="G115" s="219">
        <v>-3.15</v>
      </c>
      <c r="H115" s="214">
        <v>3.9253554357249199</v>
      </c>
      <c r="J115" s="1"/>
      <c r="K115" s="1"/>
      <c r="L115" s="1"/>
      <c r="M115" s="1"/>
      <c r="N115" s="1"/>
      <c r="O115" s="1"/>
      <c r="P115" s="1"/>
      <c r="Q115" s="1"/>
      <c r="R115" s="1"/>
      <c r="S115" s="1"/>
    </row>
    <row r="116" spans="1:19" hidden="1">
      <c r="A116" s="226">
        <v>43132</v>
      </c>
      <c r="B116" s="213">
        <v>3</v>
      </c>
      <c r="C116" s="213">
        <v>3.37</v>
      </c>
      <c r="D116" s="213">
        <v>4.2997226110393472</v>
      </c>
      <c r="E116" s="213">
        <v>1.86</v>
      </c>
      <c r="F116" s="218">
        <v>2855.93</v>
      </c>
      <c r="G116" s="219">
        <v>-1.39</v>
      </c>
      <c r="H116" s="214">
        <v>1.9814915611515271</v>
      </c>
      <c r="J116" s="1"/>
      <c r="K116" s="1"/>
      <c r="L116" s="1"/>
      <c r="M116" s="1"/>
      <c r="N116" s="1"/>
      <c r="O116" s="1"/>
      <c r="P116" s="1"/>
      <c r="Q116" s="1"/>
      <c r="R116" s="1"/>
      <c r="S116" s="1"/>
    </row>
    <row r="117" spans="1:19" hidden="1">
      <c r="A117" s="226">
        <v>43160</v>
      </c>
      <c r="B117" s="213">
        <v>3</v>
      </c>
      <c r="C117" s="213">
        <v>3.14</v>
      </c>
      <c r="D117" s="213">
        <v>3.9670058133348229</v>
      </c>
      <c r="E117" s="213">
        <v>1.65</v>
      </c>
      <c r="F117" s="218">
        <v>2780.47</v>
      </c>
      <c r="G117" s="219">
        <v>-3.46</v>
      </c>
      <c r="H117" s="214">
        <v>-0.78342591151993046</v>
      </c>
      <c r="J117" s="1"/>
      <c r="K117" s="1"/>
      <c r="L117" s="1"/>
      <c r="M117" s="1"/>
      <c r="N117" s="1"/>
      <c r="O117" s="1"/>
      <c r="P117" s="1"/>
      <c r="Q117" s="1"/>
      <c r="R117" s="1"/>
      <c r="S117" s="1"/>
    </row>
    <row r="118" spans="1:19" hidden="1">
      <c r="A118" s="226">
        <v>43191</v>
      </c>
      <c r="B118" s="213">
        <v>3</v>
      </c>
      <c r="C118" s="213">
        <v>3.13</v>
      </c>
      <c r="D118" s="213">
        <v>3.7581956571943964</v>
      </c>
      <c r="E118" s="213">
        <v>1.92</v>
      </c>
      <c r="F118" s="218">
        <v>2806.28</v>
      </c>
      <c r="G118" s="219">
        <v>-4.8</v>
      </c>
      <c r="H118" s="214">
        <v>-2.0884370836388499</v>
      </c>
      <c r="J118" s="1"/>
      <c r="K118" s="1"/>
      <c r="L118" s="1"/>
      <c r="M118" s="1"/>
      <c r="N118" s="1"/>
      <c r="O118" s="1"/>
      <c r="P118" s="1"/>
      <c r="Q118" s="1"/>
      <c r="R118" s="1"/>
      <c r="S118" s="1"/>
    </row>
    <row r="119" spans="1:19" hidden="1">
      <c r="A119" s="226">
        <v>43221</v>
      </c>
      <c r="B119" s="213">
        <v>3</v>
      </c>
      <c r="C119" s="213">
        <v>3.16</v>
      </c>
      <c r="D119" s="213">
        <v>3.768293870310746</v>
      </c>
      <c r="E119" s="213">
        <v>2.81</v>
      </c>
      <c r="F119" s="218">
        <v>2879.32</v>
      </c>
      <c r="G119" s="219">
        <v>-1.41</v>
      </c>
      <c r="H119" s="214">
        <v>-1.9009357761301526</v>
      </c>
      <c r="J119" s="1"/>
      <c r="K119" s="1"/>
      <c r="L119" s="1"/>
      <c r="M119" s="1"/>
      <c r="N119" s="1"/>
      <c r="O119" s="1"/>
      <c r="P119" s="1"/>
      <c r="Q119" s="1"/>
      <c r="R119" s="1"/>
      <c r="S119" s="1"/>
    </row>
    <row r="120" spans="1:19" hidden="1">
      <c r="A120" s="226">
        <v>43252</v>
      </c>
      <c r="B120" s="213">
        <v>3</v>
      </c>
      <c r="C120" s="213">
        <v>3.2</v>
      </c>
      <c r="D120" s="213">
        <v>3.7305833489211349</v>
      </c>
      <c r="E120" s="213">
        <v>3.08</v>
      </c>
      <c r="F120" s="218">
        <v>2930.8</v>
      </c>
      <c r="G120" s="219">
        <v>-3.54</v>
      </c>
      <c r="H120" s="214">
        <v>-1.9420803053100344</v>
      </c>
      <c r="J120" s="1"/>
      <c r="K120" s="1"/>
      <c r="L120" s="1"/>
      <c r="M120" s="1"/>
      <c r="N120" s="1"/>
      <c r="O120" s="1"/>
      <c r="P120" s="1"/>
      <c r="Q120" s="1"/>
      <c r="R120" s="1"/>
      <c r="S120" s="1"/>
    </row>
    <row r="121" spans="1:19" hidden="1">
      <c r="A121" s="226">
        <v>43282</v>
      </c>
      <c r="B121" s="213">
        <v>3</v>
      </c>
      <c r="C121" s="213">
        <v>3.12</v>
      </c>
      <c r="D121" s="213">
        <v>3.8398305393040344</v>
      </c>
      <c r="E121" s="213">
        <v>2.4500000000000002</v>
      </c>
      <c r="F121" s="218">
        <v>2875.72</v>
      </c>
      <c r="G121" s="219">
        <v>-3.99</v>
      </c>
      <c r="H121" s="214">
        <v>-4.9023926707163596</v>
      </c>
      <c r="J121" s="1"/>
      <c r="K121" s="1"/>
      <c r="L121" s="1"/>
      <c r="M121" s="1"/>
      <c r="N121" s="1"/>
      <c r="O121" s="1"/>
      <c r="P121" s="1"/>
      <c r="Q121" s="1"/>
      <c r="R121" s="1"/>
      <c r="S121" s="1"/>
    </row>
    <row r="122" spans="1:19" hidden="1">
      <c r="A122" s="226">
        <v>43313</v>
      </c>
      <c r="B122" s="213">
        <v>3</v>
      </c>
      <c r="C122" s="213">
        <v>3.1</v>
      </c>
      <c r="D122" s="213">
        <v>3.787822054985468</v>
      </c>
      <c r="E122" s="213">
        <v>2.4500000000000002</v>
      </c>
      <c r="F122" s="215">
        <v>3027.39</v>
      </c>
      <c r="G122" s="213">
        <v>3.07</v>
      </c>
      <c r="H122" s="214">
        <v>-4.4973737984840607</v>
      </c>
      <c r="J122" s="1"/>
      <c r="K122" s="1"/>
      <c r="L122" s="1"/>
      <c r="M122" s="1"/>
      <c r="N122" s="1"/>
      <c r="O122" s="1"/>
      <c r="P122" s="1"/>
      <c r="Q122" s="1"/>
      <c r="R122" s="1"/>
      <c r="S122" s="1"/>
    </row>
    <row r="123" spans="1:19" hidden="1">
      <c r="A123" s="226">
        <v>43344</v>
      </c>
      <c r="B123" s="213">
        <v>3</v>
      </c>
      <c r="C123" s="213">
        <v>3.23</v>
      </c>
      <c r="D123" s="213">
        <v>3.669582424221618</v>
      </c>
      <c r="E123" s="213">
        <v>3.77</v>
      </c>
      <c r="F123" s="215">
        <v>2972.18</v>
      </c>
      <c r="G123" s="213">
        <v>1.21</v>
      </c>
      <c r="H123" s="214">
        <v>-2.5803254908405737</v>
      </c>
      <c r="J123" s="1"/>
      <c r="K123" s="1"/>
      <c r="L123" s="1"/>
      <c r="M123" s="1"/>
      <c r="N123" s="1"/>
      <c r="O123" s="1"/>
      <c r="P123" s="1"/>
      <c r="Q123" s="1"/>
      <c r="R123" s="1"/>
      <c r="S123" s="1"/>
    </row>
    <row r="124" spans="1:19" hidden="1">
      <c r="A124" s="226">
        <v>43374</v>
      </c>
      <c r="B124" s="213">
        <v>3</v>
      </c>
      <c r="C124" s="213">
        <v>3.33</v>
      </c>
      <c r="D124" s="213">
        <v>3.7520793983881084</v>
      </c>
      <c r="E124" s="213">
        <v>4.2300000000000004</v>
      </c>
      <c r="F124" s="215">
        <v>3202.44</v>
      </c>
      <c r="G124" s="213">
        <v>6.34</v>
      </c>
      <c r="H124" s="214">
        <v>-1.432040780073518</v>
      </c>
      <c r="J124" s="1"/>
      <c r="K124" s="1"/>
      <c r="L124" s="1"/>
      <c r="M124" s="1"/>
      <c r="N124" s="1"/>
      <c r="O124" s="1"/>
      <c r="P124" s="1"/>
      <c r="Q124" s="1"/>
      <c r="R124" s="1"/>
      <c r="S124" s="1"/>
    </row>
    <row r="125" spans="1:19" hidden="1">
      <c r="A125" s="226">
        <v>43405</v>
      </c>
      <c r="B125" s="213">
        <v>3</v>
      </c>
      <c r="C125" s="213">
        <v>3.27</v>
      </c>
      <c r="D125" s="213">
        <v>3.6835516931431833</v>
      </c>
      <c r="E125" s="213">
        <v>3.32</v>
      </c>
      <c r="F125" s="215">
        <v>3240.02</v>
      </c>
      <c r="G125" s="213">
        <v>7.78</v>
      </c>
      <c r="H125" s="214">
        <v>-0.14022463810196006</v>
      </c>
      <c r="J125" s="1"/>
      <c r="K125" s="1"/>
      <c r="L125" s="1"/>
      <c r="M125" s="1"/>
      <c r="N125" s="1"/>
      <c r="O125" s="1"/>
      <c r="P125" s="1"/>
      <c r="Q125" s="1"/>
      <c r="R125" s="1"/>
      <c r="S125" s="1"/>
    </row>
    <row r="126" spans="1:19" hidden="1">
      <c r="A126" s="226">
        <v>43435</v>
      </c>
      <c r="B126" s="213">
        <v>3</v>
      </c>
      <c r="C126" s="213">
        <v>3.18</v>
      </c>
      <c r="D126" s="213">
        <v>3.5058744435203071</v>
      </c>
      <c r="E126" s="213">
        <v>3.09</v>
      </c>
      <c r="F126" s="215">
        <v>3249.75</v>
      </c>
      <c r="G126" s="213">
        <v>8.9058310991957157</v>
      </c>
      <c r="H126" s="214">
        <v>-0.90724690310400868</v>
      </c>
      <c r="J126" s="1"/>
      <c r="K126" s="1"/>
      <c r="L126" s="1"/>
      <c r="M126" s="1"/>
      <c r="N126" s="1"/>
      <c r="O126" s="1"/>
      <c r="P126" s="1"/>
      <c r="Q126" s="1"/>
      <c r="R126" s="1"/>
      <c r="S126" s="1"/>
    </row>
    <row r="127" spans="1:19" hidden="1">
      <c r="A127" s="226">
        <v>43466</v>
      </c>
      <c r="B127" s="213">
        <v>3</v>
      </c>
      <c r="C127" s="213">
        <v>3.15</v>
      </c>
      <c r="D127" s="213">
        <v>3.4760962024344977</v>
      </c>
      <c r="E127" s="213">
        <v>3.42</v>
      </c>
      <c r="F127" s="215">
        <v>3163.46</v>
      </c>
      <c r="G127" s="213">
        <v>11.23</v>
      </c>
      <c r="H127" s="214">
        <v>0.17903813363528975</v>
      </c>
      <c r="J127" s="1"/>
      <c r="K127" s="1"/>
      <c r="L127" s="1"/>
      <c r="M127" s="1"/>
      <c r="N127" s="1"/>
      <c r="O127" s="1"/>
      <c r="P127" s="1"/>
      <c r="Q127" s="1"/>
      <c r="R127" s="1"/>
      <c r="S127" s="1"/>
    </row>
    <row r="128" spans="1:19" hidden="1">
      <c r="A128" s="226">
        <v>43497</v>
      </c>
      <c r="B128" s="213">
        <v>3</v>
      </c>
      <c r="C128" s="213">
        <v>3.01</v>
      </c>
      <c r="D128" s="213">
        <v>3.2259192449780816</v>
      </c>
      <c r="E128" s="213">
        <v>3.35</v>
      </c>
      <c r="F128" s="215">
        <v>3072.01</v>
      </c>
      <c r="G128" s="213">
        <v>7.57</v>
      </c>
      <c r="H128" s="214">
        <v>1.3189752631459495</v>
      </c>
      <c r="J128" s="1"/>
      <c r="K128" s="1"/>
      <c r="L128" s="1"/>
      <c r="M128" s="1"/>
      <c r="N128" s="1"/>
      <c r="O128" s="1"/>
      <c r="P128" s="1"/>
      <c r="Q128" s="1"/>
      <c r="R128" s="1"/>
      <c r="S128" s="1"/>
    </row>
    <row r="129" spans="1:19" hidden="1">
      <c r="A129" s="226">
        <v>43525</v>
      </c>
      <c r="B129" s="213">
        <v>3</v>
      </c>
      <c r="C129" s="213">
        <v>3.21</v>
      </c>
      <c r="D129" s="213">
        <v>3.2749348640229714</v>
      </c>
      <c r="E129" s="213">
        <v>3.65</v>
      </c>
      <c r="F129" s="215">
        <v>3174.79</v>
      </c>
      <c r="G129" s="213">
        <v>14.18</v>
      </c>
      <c r="H129" s="214">
        <v>2.3667566299388376</v>
      </c>
      <c r="J129" s="1"/>
      <c r="K129" s="1"/>
      <c r="L129" s="1"/>
      <c r="M129" s="1"/>
      <c r="N129" s="1"/>
      <c r="O129" s="1"/>
      <c r="P129" s="1"/>
      <c r="Q129" s="1"/>
      <c r="R129" s="1"/>
      <c r="S129" s="1"/>
    </row>
    <row r="130" spans="1:19" hidden="1">
      <c r="A130" s="226">
        <v>43556</v>
      </c>
      <c r="B130" s="213">
        <v>3</v>
      </c>
      <c r="C130" s="213">
        <v>3.25</v>
      </c>
      <c r="D130" s="213">
        <v>3.3065966932305457</v>
      </c>
      <c r="E130" s="213">
        <v>4.79</v>
      </c>
      <c r="F130" s="215">
        <v>3247.72</v>
      </c>
      <c r="G130" s="213">
        <v>15.73</v>
      </c>
      <c r="H130" s="214">
        <v>5.6933442700790593</v>
      </c>
      <c r="J130" s="1"/>
      <c r="K130" s="1"/>
      <c r="L130" s="1"/>
      <c r="M130" s="1"/>
      <c r="N130" s="1"/>
      <c r="O130" s="1"/>
      <c r="P130" s="1"/>
      <c r="Q130" s="1"/>
      <c r="R130" s="1"/>
      <c r="S130" s="1"/>
    </row>
    <row r="131" spans="1:19" hidden="1">
      <c r="A131" s="226">
        <v>43586</v>
      </c>
      <c r="B131" s="213">
        <v>3</v>
      </c>
      <c r="C131" s="213">
        <v>3.31</v>
      </c>
      <c r="D131" s="213">
        <v>3.2621918470303157</v>
      </c>
      <c r="E131" s="213">
        <v>5.0061156735977663</v>
      </c>
      <c r="F131" s="215">
        <v>3357.82</v>
      </c>
      <c r="G131" s="213">
        <v>16.62</v>
      </c>
      <c r="H131" s="214">
        <v>6.8424903955637273</v>
      </c>
      <c r="J131" s="1"/>
      <c r="K131" s="1"/>
      <c r="L131" s="1"/>
      <c r="M131" s="1"/>
      <c r="N131" s="1"/>
      <c r="O131" s="1"/>
      <c r="P131" s="1"/>
      <c r="Q131" s="1"/>
      <c r="R131" s="1"/>
      <c r="S131" s="1"/>
    </row>
    <row r="132" spans="1:19" hidden="1">
      <c r="A132" s="226">
        <v>43617</v>
      </c>
      <c r="B132" s="213">
        <v>3</v>
      </c>
      <c r="C132" s="213">
        <v>3.43</v>
      </c>
      <c r="D132" s="213">
        <v>3.2201564514723113</v>
      </c>
      <c r="E132" s="213">
        <v>4.4344641144152819</v>
      </c>
      <c r="F132" s="215">
        <v>3205.67</v>
      </c>
      <c r="G132" s="213">
        <v>9.3786679404940685</v>
      </c>
      <c r="H132" s="214">
        <v>4.6108008434629255</v>
      </c>
      <c r="J132" s="1"/>
      <c r="K132" s="1"/>
      <c r="L132" s="1"/>
      <c r="M132" s="1"/>
      <c r="N132" s="1"/>
      <c r="O132" s="1"/>
      <c r="P132" s="1"/>
      <c r="Q132" s="1"/>
      <c r="R132" s="1"/>
      <c r="S132" s="1"/>
    </row>
    <row r="133" spans="1:19" hidden="1">
      <c r="A133" s="226">
        <v>43647</v>
      </c>
      <c r="B133" s="213">
        <v>3</v>
      </c>
      <c r="C133" s="213">
        <v>3.79</v>
      </c>
      <c r="D133" s="213">
        <v>3.3057552876905483</v>
      </c>
      <c r="E133" s="213">
        <v>5.3950240069838618</v>
      </c>
      <c r="F133" s="215">
        <v>3296.85</v>
      </c>
      <c r="G133" s="213">
        <v>14.64</v>
      </c>
      <c r="H133" s="214">
        <v>2.817401376369788</v>
      </c>
      <c r="J133" s="1"/>
      <c r="K133" s="1"/>
      <c r="L133" s="1"/>
      <c r="M133" s="1"/>
      <c r="N133" s="1"/>
      <c r="O133" s="1"/>
      <c r="P133" s="1"/>
      <c r="Q133" s="1"/>
      <c r="R133" s="1"/>
      <c r="S133" s="1"/>
    </row>
    <row r="134" spans="1:19" hidden="1">
      <c r="A134" s="226">
        <v>43678</v>
      </c>
      <c r="B134" s="213">
        <v>3</v>
      </c>
      <c r="C134" s="213">
        <v>3.75</v>
      </c>
      <c r="D134" s="213">
        <v>3.2846104537903154</v>
      </c>
      <c r="E134" s="213">
        <v>5.98</v>
      </c>
      <c r="F134" s="215">
        <v>3427.29</v>
      </c>
      <c r="G134" s="213">
        <v>13.21</v>
      </c>
      <c r="H134" s="214">
        <v>6.9606875950284808</v>
      </c>
      <c r="J134" s="1"/>
      <c r="K134" s="1"/>
      <c r="L134" s="1"/>
      <c r="M134" s="1"/>
      <c r="N134" s="1"/>
      <c r="O134" s="1"/>
      <c r="P134" s="1"/>
      <c r="Q134" s="1"/>
      <c r="R134" s="1"/>
      <c r="S134" s="1"/>
    </row>
    <row r="135" spans="1:19" hidden="1">
      <c r="A135" s="226">
        <v>43709</v>
      </c>
      <c r="B135" s="213">
        <v>3</v>
      </c>
      <c r="C135" s="213">
        <v>3.82</v>
      </c>
      <c r="D135" s="213">
        <v>3.365877974824083</v>
      </c>
      <c r="E135" s="213">
        <v>5.28</v>
      </c>
      <c r="F135" s="215">
        <v>3462.01</v>
      </c>
      <c r="G135" s="213">
        <v>16.48</v>
      </c>
      <c r="H135" s="214">
        <v>4.1142267616528505</v>
      </c>
      <c r="J135" s="1"/>
      <c r="K135" s="1"/>
      <c r="L135" s="1"/>
      <c r="M135" s="1"/>
      <c r="N135" s="1"/>
      <c r="O135" s="1"/>
      <c r="P135" s="1"/>
      <c r="Q135" s="1"/>
      <c r="R135" s="1"/>
      <c r="S135" s="1"/>
    </row>
    <row r="136" spans="1:19" hidden="1">
      <c r="A136" s="226">
        <v>43739</v>
      </c>
      <c r="B136" s="213">
        <v>3</v>
      </c>
      <c r="C136" s="213">
        <v>3.86</v>
      </c>
      <c r="D136" s="213">
        <v>3.3299015586865988</v>
      </c>
      <c r="E136" s="213">
        <v>4.82</v>
      </c>
      <c r="F136" s="215">
        <v>3389.94</v>
      </c>
      <c r="G136" s="213">
        <v>5.85</v>
      </c>
      <c r="H136" s="214">
        <v>3.6532001997126029</v>
      </c>
      <c r="J136" s="1"/>
      <c r="K136" s="1"/>
      <c r="L136" s="1"/>
      <c r="M136" s="1"/>
      <c r="N136" s="1"/>
      <c r="O136" s="1"/>
      <c r="P136" s="1"/>
      <c r="Q136" s="1"/>
      <c r="R136" s="1"/>
      <c r="S136" s="1"/>
    </row>
    <row r="137" spans="1:19" hidden="1">
      <c r="A137" s="226">
        <v>43770</v>
      </c>
      <c r="B137" s="213">
        <v>3</v>
      </c>
      <c r="C137" s="213">
        <v>3.84</v>
      </c>
      <c r="D137" s="213">
        <v>3.3830091035800924</v>
      </c>
      <c r="E137" s="213">
        <v>4.5199999999999996</v>
      </c>
      <c r="F137" s="215">
        <v>3522.48</v>
      </c>
      <c r="G137" s="213">
        <v>8.7200000000000006</v>
      </c>
      <c r="H137" s="214">
        <v>0.24164915536948328</v>
      </c>
      <c r="J137" s="1"/>
      <c r="K137" s="1"/>
      <c r="L137" s="1"/>
      <c r="M137" s="1"/>
      <c r="N137" s="1"/>
      <c r="O137" s="1"/>
      <c r="P137" s="1"/>
      <c r="Q137" s="1"/>
      <c r="R137" s="1"/>
      <c r="S137" s="1"/>
    </row>
    <row r="138" spans="1:19" hidden="1">
      <c r="A138" s="226">
        <v>43800</v>
      </c>
      <c r="B138" s="213">
        <v>3</v>
      </c>
      <c r="C138" s="213">
        <v>3.8</v>
      </c>
      <c r="D138" s="213">
        <v>3.4506032890035732</v>
      </c>
      <c r="E138" s="213">
        <v>4.66</v>
      </c>
      <c r="F138" s="215">
        <v>3277.14</v>
      </c>
      <c r="G138" s="213">
        <v>0.8428340641587706</v>
      </c>
      <c r="H138" s="214">
        <v>0.64132635908247249</v>
      </c>
      <c r="J138" s="1"/>
      <c r="K138" s="1"/>
      <c r="L138" s="1"/>
      <c r="M138" s="1"/>
      <c r="N138" s="1"/>
      <c r="O138" s="1"/>
      <c r="P138" s="1"/>
      <c r="Q138" s="1"/>
      <c r="R138" s="1"/>
      <c r="S138" s="1"/>
    </row>
    <row r="139" spans="1:19" hidden="1">
      <c r="A139" s="226">
        <v>43831</v>
      </c>
      <c r="B139" s="213">
        <v>3</v>
      </c>
      <c r="C139" s="213">
        <v>3.62</v>
      </c>
      <c r="D139" s="213">
        <v>3.351938164640722</v>
      </c>
      <c r="E139" s="213">
        <v>4.4000000000000004</v>
      </c>
      <c r="F139" s="215">
        <v>3411.45</v>
      </c>
      <c r="G139" s="213">
        <v>7.84</v>
      </c>
      <c r="H139" s="214">
        <v>0.51926535487267778</v>
      </c>
      <c r="J139" s="1"/>
      <c r="K139" s="1"/>
      <c r="L139" s="1"/>
      <c r="M139" s="1"/>
      <c r="N139" s="1"/>
      <c r="O139" s="1"/>
      <c r="P139" s="1"/>
      <c r="Q139" s="1"/>
      <c r="R139" s="1"/>
      <c r="S139" s="1"/>
    </row>
    <row r="140" spans="1:19" hidden="1">
      <c r="A140" s="226">
        <v>43862</v>
      </c>
      <c r="B140" s="213">
        <v>3</v>
      </c>
      <c r="C140" s="213">
        <v>3.72</v>
      </c>
      <c r="D140" s="213">
        <v>3.337094633509663</v>
      </c>
      <c r="E140" s="213">
        <v>4.2300000000000004</v>
      </c>
      <c r="F140" s="215">
        <v>3539.86</v>
      </c>
      <c r="G140" s="213">
        <v>15.23</v>
      </c>
      <c r="H140" s="214">
        <v>3.1790347975775735</v>
      </c>
      <c r="J140" s="1"/>
      <c r="K140" s="1"/>
      <c r="L140" s="1"/>
      <c r="M140" s="1"/>
      <c r="N140" s="1"/>
      <c r="O140" s="1"/>
      <c r="P140" s="1"/>
      <c r="Q140" s="1"/>
      <c r="R140" s="1"/>
      <c r="S140" s="1"/>
    </row>
    <row r="141" spans="1:19" hidden="1">
      <c r="A141" s="226">
        <v>43891</v>
      </c>
      <c r="B141" s="213">
        <v>3</v>
      </c>
      <c r="C141" s="213">
        <v>3.86</v>
      </c>
      <c r="D141" s="213">
        <v>3.2579235720648914</v>
      </c>
      <c r="E141" s="213">
        <v>4.6221482889733823</v>
      </c>
      <c r="F141" s="215">
        <v>4064.81</v>
      </c>
      <c r="G141" s="213">
        <v>28.03</v>
      </c>
      <c r="H141" s="214">
        <v>12.141417357865581</v>
      </c>
      <c r="J141" s="1"/>
      <c r="K141" s="1"/>
      <c r="L141" s="1"/>
      <c r="M141" s="1"/>
      <c r="N141" s="1"/>
      <c r="O141" s="1"/>
      <c r="P141" s="1"/>
      <c r="Q141" s="1"/>
      <c r="R141" s="1"/>
      <c r="S141" s="1"/>
    </row>
    <row r="142" spans="1:19" hidden="1">
      <c r="A142" s="226">
        <v>43922</v>
      </c>
      <c r="B142" s="213">
        <v>3</v>
      </c>
      <c r="C142" s="213">
        <v>3.51</v>
      </c>
      <c r="D142" s="213">
        <v>2.6550753297996721</v>
      </c>
      <c r="E142" s="213">
        <v>3.1381457176510308</v>
      </c>
      <c r="F142" s="215">
        <v>3983.29</v>
      </c>
      <c r="G142" s="213">
        <v>22.65</v>
      </c>
      <c r="H142" s="214">
        <v>11.205825172245953</v>
      </c>
      <c r="J142" s="1"/>
      <c r="K142" s="1"/>
      <c r="L142" s="1"/>
      <c r="M142" s="1"/>
      <c r="N142" s="1"/>
      <c r="O142" s="1"/>
      <c r="P142" s="1"/>
      <c r="Q142" s="1"/>
      <c r="R142" s="1"/>
      <c r="S142" s="1"/>
    </row>
    <row r="143" spans="1:19" hidden="1">
      <c r="A143" s="226">
        <v>43952</v>
      </c>
      <c r="B143" s="213">
        <v>3</v>
      </c>
      <c r="C143" s="213">
        <v>2.85</v>
      </c>
      <c r="D143" s="213">
        <v>1.9996184905314296</v>
      </c>
      <c r="E143" s="213">
        <v>1.921956901572508</v>
      </c>
      <c r="F143" s="215">
        <v>3718.82</v>
      </c>
      <c r="G143" s="213">
        <v>10.75</v>
      </c>
      <c r="H143" s="214">
        <v>5.1090816288110963</v>
      </c>
      <c r="J143" s="1"/>
      <c r="K143" s="1"/>
      <c r="L143" s="1"/>
      <c r="M143" s="1"/>
      <c r="N143" s="1"/>
      <c r="O143" s="1"/>
      <c r="P143" s="1"/>
      <c r="Q143" s="1"/>
      <c r="R143" s="1"/>
      <c r="S143" s="1"/>
    </row>
    <row r="144" spans="1:19" hidden="1">
      <c r="A144" s="226">
        <v>43983</v>
      </c>
      <c r="B144" s="213">
        <v>3</v>
      </c>
      <c r="C144" s="213">
        <v>2.19</v>
      </c>
      <c r="D144" s="213">
        <v>1.3993950963227642</v>
      </c>
      <c r="E144" s="213">
        <v>2.3648281908897451</v>
      </c>
      <c r="F144" s="215">
        <v>3758.91</v>
      </c>
      <c r="G144" s="213">
        <v>17.260000000000002</v>
      </c>
      <c r="H144" s="214">
        <v>4.3874656224405895</v>
      </c>
      <c r="J144" s="1"/>
      <c r="K144" s="1"/>
      <c r="L144" s="1"/>
      <c r="M144" s="1"/>
      <c r="N144" s="1"/>
      <c r="O144" s="1"/>
      <c r="P144" s="1"/>
      <c r="Q144" s="1"/>
      <c r="R144" s="1"/>
      <c r="S144" s="1"/>
    </row>
    <row r="145" spans="1:19" hidden="1">
      <c r="A145" s="226">
        <v>44013</v>
      </c>
      <c r="B145" s="213">
        <v>3</v>
      </c>
      <c r="C145" s="213">
        <v>1.97</v>
      </c>
      <c r="D145" s="213">
        <v>1.4154359399102479</v>
      </c>
      <c r="E145" s="213">
        <v>1.6814379193241136</v>
      </c>
      <c r="F145" s="215">
        <v>3739.49</v>
      </c>
      <c r="G145" s="213">
        <v>13.43</v>
      </c>
      <c r="H145" s="214">
        <v>6.7804357554454242</v>
      </c>
      <c r="J145" s="1"/>
      <c r="K145" s="1"/>
      <c r="L145" s="1"/>
      <c r="M145" s="1"/>
      <c r="N145" s="1"/>
      <c r="O145" s="1"/>
      <c r="P145" s="1"/>
      <c r="Q145" s="1"/>
      <c r="R145" s="1"/>
      <c r="S145" s="1"/>
    </row>
    <row r="146" spans="1:19" hidden="1">
      <c r="A146" s="226">
        <v>44044</v>
      </c>
      <c r="B146" s="213">
        <v>3</v>
      </c>
      <c r="C146" s="213">
        <v>1.88</v>
      </c>
      <c r="D146" s="213">
        <v>1.369177860759474</v>
      </c>
      <c r="E146" s="213">
        <v>1.587993421052647</v>
      </c>
      <c r="F146" s="215">
        <v>3760.38</v>
      </c>
      <c r="G146" s="213">
        <v>9.7200000000000006</v>
      </c>
      <c r="H146" s="214">
        <v>7.83093266424435</v>
      </c>
      <c r="J146" s="1"/>
      <c r="K146" s="1"/>
      <c r="L146" s="1"/>
      <c r="M146" s="1"/>
      <c r="N146" s="1"/>
      <c r="O146" s="1"/>
      <c r="P146" s="1"/>
      <c r="Q146" s="1"/>
      <c r="R146" s="1"/>
      <c r="S146" s="1"/>
    </row>
    <row r="147" spans="1:19" hidden="1">
      <c r="A147" s="226">
        <v>44075</v>
      </c>
      <c r="B147" s="213">
        <v>3</v>
      </c>
      <c r="C147" s="213">
        <v>1.97</v>
      </c>
      <c r="D147" s="213">
        <v>1.5702045352782301</v>
      </c>
      <c r="E147" s="213">
        <v>1.2026507404074183</v>
      </c>
      <c r="F147" s="215">
        <v>3878.94</v>
      </c>
      <c r="G147" s="213">
        <v>12.04</v>
      </c>
      <c r="H147" s="214">
        <v>9.3655425386888638</v>
      </c>
      <c r="J147" s="1"/>
      <c r="K147" s="1"/>
      <c r="L147" s="1"/>
      <c r="M147" s="1"/>
      <c r="N147" s="1"/>
      <c r="O147" s="1"/>
      <c r="P147" s="1"/>
      <c r="Q147" s="1"/>
      <c r="R147" s="1"/>
      <c r="S147" s="1"/>
    </row>
    <row r="148" spans="1:19" hidden="1">
      <c r="A148" s="226">
        <v>44105</v>
      </c>
      <c r="B148" s="213">
        <v>3</v>
      </c>
      <c r="C148" s="213">
        <v>1.75</v>
      </c>
      <c r="D148" s="213">
        <v>1.42</v>
      </c>
      <c r="E148" s="213">
        <v>1.5093416007179616</v>
      </c>
      <c r="F148" s="215">
        <v>3858.56</v>
      </c>
      <c r="G148" s="213">
        <v>13.82</v>
      </c>
      <c r="H148" s="214">
        <v>10.479441272525269</v>
      </c>
      <c r="J148" s="1"/>
      <c r="K148" s="1"/>
      <c r="L148" s="1"/>
      <c r="M148" s="1"/>
      <c r="N148" s="1"/>
      <c r="O148" s="1"/>
      <c r="P148" s="1"/>
      <c r="Q148" s="1"/>
      <c r="R148" s="1"/>
      <c r="S148" s="1"/>
    </row>
    <row r="149" spans="1:19" hidden="1">
      <c r="A149" s="226">
        <v>44136</v>
      </c>
      <c r="B149" s="213">
        <v>3</v>
      </c>
      <c r="C149" s="213">
        <v>1.49</v>
      </c>
      <c r="D149" s="213">
        <v>1.02</v>
      </c>
      <c r="E149" s="213">
        <v>1.6351892731583773</v>
      </c>
      <c r="F149" s="215">
        <v>3611.44</v>
      </c>
      <c r="G149" s="213">
        <v>2.5299999999999998</v>
      </c>
      <c r="H149" s="214">
        <v>8.4256668135416</v>
      </c>
      <c r="J149" s="1"/>
      <c r="K149" s="1"/>
      <c r="L149" s="1"/>
      <c r="M149" s="1"/>
      <c r="N149" s="1"/>
      <c r="O149" s="1"/>
      <c r="P149" s="1"/>
      <c r="Q149" s="1"/>
      <c r="R149" s="1"/>
      <c r="S149" s="1"/>
    </row>
    <row r="150" spans="1:19" hidden="1">
      <c r="A150" s="226">
        <v>44166</v>
      </c>
      <c r="B150" s="213">
        <v>3</v>
      </c>
      <c r="C150" s="213">
        <v>1.61</v>
      </c>
      <c r="D150" s="213">
        <v>1.03</v>
      </c>
      <c r="E150" s="213">
        <v>1.650866296175213</v>
      </c>
      <c r="F150" s="215">
        <v>3432.5</v>
      </c>
      <c r="G150" s="213">
        <v>4.7407190416033584</v>
      </c>
      <c r="H150" s="214">
        <v>4.7214905252964678</v>
      </c>
      <c r="J150" s="1"/>
      <c r="K150" s="1"/>
      <c r="L150" s="1"/>
      <c r="M150" s="1"/>
      <c r="N150" s="1"/>
      <c r="O150" s="1"/>
      <c r="P150" s="1"/>
      <c r="Q150" s="1"/>
      <c r="R150" s="1"/>
      <c r="S150" s="1"/>
    </row>
    <row r="151" spans="1:19" hidden="1">
      <c r="A151" s="226">
        <v>44197</v>
      </c>
      <c r="B151" s="213">
        <v>3</v>
      </c>
      <c r="C151" s="213">
        <v>1.6</v>
      </c>
      <c r="D151" s="213">
        <v>0.89</v>
      </c>
      <c r="E151" s="213">
        <v>3.2810201078960155</v>
      </c>
      <c r="F151" s="215">
        <v>3559.46</v>
      </c>
      <c r="G151" s="213">
        <v>4.34</v>
      </c>
      <c r="H151" s="214">
        <v>7.1755037507501118</v>
      </c>
      <c r="J151" s="1"/>
      <c r="K151" s="1"/>
      <c r="L151" s="1"/>
      <c r="M151" s="1"/>
      <c r="N151" s="1"/>
      <c r="O151" s="1"/>
      <c r="P151" s="1"/>
      <c r="Q151" s="1"/>
      <c r="R151" s="1"/>
      <c r="S151" s="1"/>
    </row>
    <row r="152" spans="1:19" hidden="1">
      <c r="A152" s="226">
        <v>44228</v>
      </c>
      <c r="B152" s="213">
        <v>3</v>
      </c>
      <c r="C152" s="213">
        <v>1.56</v>
      </c>
      <c r="D152" s="213">
        <v>0.93</v>
      </c>
      <c r="E152" s="213">
        <v>5.1414091875102041</v>
      </c>
      <c r="F152" s="215">
        <v>3624.39</v>
      </c>
      <c r="G152" s="213">
        <v>2.39</v>
      </c>
      <c r="H152" s="214">
        <v>7.1624160850715102</v>
      </c>
      <c r="J152" s="1"/>
      <c r="K152" s="1"/>
      <c r="L152" s="1"/>
      <c r="M152" s="1"/>
      <c r="N152" s="1"/>
      <c r="O152" s="1"/>
      <c r="P152" s="1"/>
      <c r="Q152" s="1"/>
      <c r="R152" s="1"/>
      <c r="S152" s="1"/>
    </row>
    <row r="153" spans="1:19" hidden="1">
      <c r="A153" s="226">
        <v>44256</v>
      </c>
      <c r="B153" s="213">
        <v>3</v>
      </c>
      <c r="C153" s="213">
        <v>1.51</v>
      </c>
      <c r="D153" s="213">
        <v>1.06</v>
      </c>
      <c r="E153" s="213">
        <v>6.4168086314594142</v>
      </c>
      <c r="F153" s="215">
        <v>3736.91</v>
      </c>
      <c r="G153" s="213">
        <v>-8.07</v>
      </c>
      <c r="H153" s="214">
        <v>-1.252712413655932</v>
      </c>
      <c r="J153" s="1"/>
      <c r="K153" s="1"/>
      <c r="L153" s="1"/>
      <c r="M153" s="1"/>
      <c r="N153" s="1"/>
      <c r="O153" s="1"/>
      <c r="P153" s="1"/>
      <c r="Q153" s="1"/>
      <c r="R153" s="1"/>
      <c r="S153" s="1"/>
    </row>
    <row r="154" spans="1:19" hidden="1">
      <c r="A154" s="226">
        <v>44287</v>
      </c>
      <c r="B154" s="213">
        <v>3</v>
      </c>
      <c r="C154" s="213">
        <v>1.95</v>
      </c>
      <c r="D154" s="213">
        <v>1.56</v>
      </c>
      <c r="E154" s="213">
        <v>8.4754058242923378</v>
      </c>
      <c r="F154" s="215">
        <v>3712.89</v>
      </c>
      <c r="G154" s="213">
        <v>-6.79</v>
      </c>
      <c r="H154" s="214">
        <v>0.13257810812390414</v>
      </c>
      <c r="J154" s="1"/>
      <c r="K154" s="1"/>
      <c r="L154" s="1"/>
      <c r="M154" s="1"/>
      <c r="N154" s="1"/>
      <c r="O154" s="1"/>
      <c r="P154" s="1"/>
      <c r="Q154" s="1"/>
      <c r="R154" s="1"/>
      <c r="S154" s="1"/>
    </row>
    <row r="155" spans="1:19" hidden="1">
      <c r="A155" s="226">
        <v>44317</v>
      </c>
      <c r="B155" s="213">
        <v>3</v>
      </c>
      <c r="C155" s="213">
        <v>3.3</v>
      </c>
      <c r="D155" s="213">
        <v>2.11</v>
      </c>
      <c r="E155" s="213">
        <v>11.208163265306116</v>
      </c>
      <c r="F155" s="215">
        <v>3715.28</v>
      </c>
      <c r="G155" s="213">
        <v>-9.5191485471202153E-2</v>
      </c>
      <c r="H155" s="214">
        <v>5.9521057777325082</v>
      </c>
      <c r="J155" s="1"/>
      <c r="K155" s="1"/>
      <c r="L155" s="1"/>
      <c r="M155" s="1"/>
      <c r="N155" s="1"/>
      <c r="O155" s="1"/>
      <c r="P155" s="1"/>
      <c r="Q155" s="1"/>
      <c r="R155" s="1"/>
      <c r="S155" s="1"/>
    </row>
    <row r="156" spans="1:19" hidden="1">
      <c r="A156" s="226">
        <v>44348</v>
      </c>
      <c r="B156" s="213">
        <v>3</v>
      </c>
      <c r="C156" s="213">
        <v>3.63</v>
      </c>
      <c r="D156" s="213">
        <v>2.7</v>
      </c>
      <c r="E156" s="213">
        <v>11.716576798518584</v>
      </c>
      <c r="F156" s="215">
        <v>3756.67</v>
      </c>
      <c r="G156" s="213">
        <v>-5.9591743351128379E-2</v>
      </c>
      <c r="H156" s="214">
        <v>7.0160282679242014</v>
      </c>
      <c r="J156" s="1"/>
      <c r="K156" s="1"/>
      <c r="L156" s="1"/>
      <c r="M156" s="1"/>
      <c r="N156" s="1"/>
      <c r="O156" s="1"/>
      <c r="P156" s="1"/>
      <c r="Q156" s="1"/>
      <c r="R156" s="1"/>
      <c r="S156" s="1"/>
    </row>
    <row r="157" spans="1:19" hidden="1">
      <c r="A157" s="226">
        <v>44378</v>
      </c>
      <c r="B157" s="213">
        <v>3</v>
      </c>
      <c r="C157" s="213">
        <v>3.97</v>
      </c>
      <c r="D157" s="213">
        <v>2.86</v>
      </c>
      <c r="E157" s="213">
        <v>12.593678722710976</v>
      </c>
      <c r="F157" s="215">
        <v>3867.88</v>
      </c>
      <c r="G157" s="213">
        <v>3.4333558854282353</v>
      </c>
      <c r="H157" s="214">
        <v>10.112168107019803</v>
      </c>
      <c r="J157" s="1"/>
      <c r="K157" s="1"/>
      <c r="L157" s="1"/>
      <c r="M157" s="1"/>
      <c r="N157" s="1"/>
      <c r="O157" s="1"/>
      <c r="P157" s="1"/>
      <c r="Q157" s="1"/>
      <c r="R157" s="1"/>
      <c r="S157" s="1"/>
    </row>
    <row r="158" spans="1:19" hidden="1">
      <c r="A158" s="226">
        <v>44409</v>
      </c>
      <c r="B158" s="213">
        <v>3</v>
      </c>
      <c r="C158" s="213">
        <v>4.4400000000000004</v>
      </c>
      <c r="D158" s="213">
        <v>3.11</v>
      </c>
      <c r="E158" s="213">
        <v>13.032356250657728</v>
      </c>
      <c r="F158" s="215">
        <v>3806.87</v>
      </c>
      <c r="G158" s="213">
        <v>1.2363112238656715</v>
      </c>
      <c r="H158" s="214">
        <v>6.0250938516857033</v>
      </c>
      <c r="J158" s="1"/>
      <c r="K158" s="1"/>
      <c r="L158" s="1"/>
      <c r="M158" s="1"/>
      <c r="N158" s="1"/>
      <c r="O158" s="1"/>
      <c r="P158" s="1"/>
      <c r="Q158" s="1"/>
      <c r="R158" s="1"/>
      <c r="S158" s="1"/>
    </row>
    <row r="159" spans="1:19" hidden="1">
      <c r="A159" s="226">
        <v>44440</v>
      </c>
      <c r="B159" s="213">
        <v>3</v>
      </c>
      <c r="C159" s="213">
        <v>4.51</v>
      </c>
      <c r="D159" s="213">
        <v>3.03</v>
      </c>
      <c r="E159" s="213">
        <v>13.831851253031523</v>
      </c>
      <c r="F159" s="215">
        <v>3834.68</v>
      </c>
      <c r="G159" s="213">
        <v>-1.1410333750973223</v>
      </c>
      <c r="H159" s="214">
        <v>4.1345276868829162</v>
      </c>
      <c r="J159" s="1"/>
      <c r="K159" s="1"/>
      <c r="L159" s="1"/>
      <c r="M159" s="1"/>
      <c r="N159" s="1"/>
      <c r="O159" s="1"/>
      <c r="P159" s="1"/>
      <c r="Q159" s="1"/>
      <c r="R159" s="1"/>
      <c r="S159" s="1"/>
    </row>
    <row r="160" spans="1:19" hidden="1">
      <c r="A160" s="226">
        <v>44470</v>
      </c>
      <c r="B160" s="213">
        <v>3</v>
      </c>
      <c r="C160" s="213">
        <v>4.58</v>
      </c>
      <c r="D160" s="213">
        <v>2.86</v>
      </c>
      <c r="E160" s="213">
        <v>14.820768365214597</v>
      </c>
      <c r="F160" s="215">
        <v>3784.44</v>
      </c>
      <c r="G160" s="213">
        <v>-1.92</v>
      </c>
      <c r="H160" s="214">
        <v>0.68192136362001943</v>
      </c>
      <c r="J160" s="1"/>
      <c r="K160" s="1"/>
      <c r="L160" s="1"/>
      <c r="M160" s="1"/>
      <c r="N160" s="1"/>
      <c r="O160" s="1"/>
      <c r="P160" s="1"/>
      <c r="Q160" s="1"/>
      <c r="R160" s="1"/>
      <c r="S160" s="1"/>
    </row>
    <row r="161" spans="1:19" hidden="1">
      <c r="A161" s="226">
        <v>44501</v>
      </c>
      <c r="B161" s="213">
        <v>3</v>
      </c>
      <c r="C161" s="213">
        <v>5.26</v>
      </c>
      <c r="D161" s="213">
        <v>3.37</v>
      </c>
      <c r="E161" s="213">
        <v>17.198938138524646</v>
      </c>
      <c r="F161" s="215">
        <v>4010.98</v>
      </c>
      <c r="G161" s="213">
        <v>11.06</v>
      </c>
      <c r="H161" s="214">
        <v>4.7063076717705377</v>
      </c>
      <c r="J161" s="1"/>
      <c r="K161" s="1"/>
      <c r="L161" s="1"/>
      <c r="M161" s="1"/>
      <c r="N161" s="1"/>
      <c r="O161" s="1"/>
      <c r="P161" s="1"/>
      <c r="Q161" s="1"/>
      <c r="R161" s="1"/>
      <c r="S161" s="1"/>
    </row>
    <row r="162" spans="1:19" hidden="1">
      <c r="A162" s="226">
        <v>44531</v>
      </c>
      <c r="B162" s="213">
        <v>3</v>
      </c>
      <c r="C162" s="213">
        <v>5.62</v>
      </c>
      <c r="D162" s="213">
        <v>3.44</v>
      </c>
      <c r="E162" s="213">
        <v>18.628396848367924</v>
      </c>
      <c r="F162" s="215">
        <v>3981.16</v>
      </c>
      <c r="G162" s="213">
        <v>15.984268026219951</v>
      </c>
      <c r="H162" s="214">
        <v>9.1482544405388833</v>
      </c>
      <c r="J162" s="1"/>
      <c r="K162" s="1"/>
      <c r="L162" s="1"/>
      <c r="M162" s="1"/>
      <c r="N162" s="1"/>
      <c r="O162" s="1"/>
      <c r="P162" s="1"/>
      <c r="Q162" s="1"/>
      <c r="R162" s="1"/>
      <c r="S162" s="1"/>
    </row>
    <row r="163" spans="1:19" hidden="1">
      <c r="A163" s="226">
        <v>44562</v>
      </c>
      <c r="B163" s="213">
        <v>3</v>
      </c>
      <c r="C163" s="213">
        <v>6.94</v>
      </c>
      <c r="D163" s="213">
        <v>4.47</v>
      </c>
      <c r="E163" s="213">
        <v>21.412855944410136</v>
      </c>
      <c r="F163" s="215">
        <v>3982.6</v>
      </c>
      <c r="G163" s="213">
        <v>11.887758255465709</v>
      </c>
      <c r="H163" s="214">
        <v>7.5039358079720619</v>
      </c>
      <c r="J163" s="1"/>
      <c r="K163" s="1"/>
      <c r="L163" s="1"/>
      <c r="M163" s="1"/>
      <c r="N163" s="1"/>
      <c r="O163" s="1"/>
      <c r="P163" s="1"/>
      <c r="Q163" s="1"/>
      <c r="R163" s="1"/>
      <c r="S163" s="1"/>
    </row>
    <row r="164" spans="1:19" hidden="1">
      <c r="A164" s="226">
        <v>44593</v>
      </c>
      <c r="B164" s="213">
        <v>3</v>
      </c>
      <c r="C164" s="213">
        <v>8.01</v>
      </c>
      <c r="D164" s="213">
        <v>5.0999999999999996</v>
      </c>
      <c r="E164" s="213">
        <v>22.56860763429993</v>
      </c>
      <c r="F164" s="215">
        <v>3910.64</v>
      </c>
      <c r="G164" s="213">
        <v>7.8978807468291112</v>
      </c>
      <c r="H164" s="214">
        <v>3.9591224620618259</v>
      </c>
      <c r="J164" s="1"/>
      <c r="K164" s="1"/>
      <c r="L164" s="1"/>
      <c r="M164" s="1"/>
      <c r="N164" s="1"/>
      <c r="O164" s="1"/>
      <c r="P164" s="1"/>
      <c r="Q164" s="1"/>
      <c r="R164" s="1"/>
      <c r="S164" s="1"/>
    </row>
    <row r="165" spans="1:19" hidden="1">
      <c r="A165" s="226">
        <v>44621</v>
      </c>
      <c r="B165" s="213">
        <v>3</v>
      </c>
      <c r="C165" s="213">
        <v>8.5299999999999994</v>
      </c>
      <c r="D165" s="213">
        <v>5.31</v>
      </c>
      <c r="E165" s="213">
        <v>22.86933983838999</v>
      </c>
      <c r="F165" s="215">
        <v>3748.15</v>
      </c>
      <c r="G165" s="213">
        <v>0.3</v>
      </c>
      <c r="H165" s="214">
        <v>-0.20780539942607534</v>
      </c>
      <c r="J165" s="1"/>
      <c r="K165" s="1"/>
      <c r="L165" s="1"/>
      <c r="M165" s="1"/>
      <c r="N165" s="1"/>
      <c r="O165" s="1"/>
      <c r="P165" s="1"/>
      <c r="Q165" s="1"/>
      <c r="R165" s="1"/>
      <c r="S165" s="1"/>
    </row>
    <row r="166" spans="1:19" hidden="1">
      <c r="A166" s="226">
        <v>44652</v>
      </c>
      <c r="B166" s="213">
        <v>3</v>
      </c>
      <c r="C166" s="213">
        <v>9.23</v>
      </c>
      <c r="D166" s="213">
        <v>5.94</v>
      </c>
      <c r="E166" s="213">
        <v>23.311776206948419</v>
      </c>
      <c r="F166" s="215">
        <v>3966.27</v>
      </c>
      <c r="G166" s="213">
        <v>6.8243336053586345</v>
      </c>
      <c r="H166" s="214">
        <v>-2.198969034476872</v>
      </c>
      <c r="J166" s="1"/>
      <c r="K166" s="1"/>
      <c r="L166" s="1"/>
      <c r="M166" s="1"/>
      <c r="N166" s="1"/>
      <c r="O166" s="1"/>
      <c r="P166" s="1"/>
      <c r="Q166" s="1"/>
      <c r="R166" s="1"/>
      <c r="S166" s="1"/>
    </row>
    <row r="167" spans="1:19" hidden="1">
      <c r="A167" s="226">
        <v>44682</v>
      </c>
      <c r="B167" s="213">
        <v>3</v>
      </c>
      <c r="C167" s="213">
        <v>9.07</v>
      </c>
      <c r="D167" s="213">
        <v>6.5</v>
      </c>
      <c r="E167" s="213">
        <v>22.227115906922123</v>
      </c>
      <c r="F167" s="215">
        <v>3912.34</v>
      </c>
      <c r="G167" s="213">
        <v>5.3040416873021634</v>
      </c>
      <c r="H167" s="214">
        <v>-1.2417797471579561</v>
      </c>
      <c r="J167" s="1"/>
      <c r="K167" s="1"/>
      <c r="L167" s="1"/>
      <c r="M167" s="1"/>
      <c r="N167" s="1"/>
      <c r="O167" s="1"/>
      <c r="P167" s="1"/>
      <c r="Q167" s="1"/>
      <c r="R167" s="1"/>
      <c r="S167" s="1"/>
    </row>
    <row r="168" spans="1:19" hidden="1">
      <c r="A168" s="226">
        <v>44713</v>
      </c>
      <c r="B168" s="213">
        <v>3</v>
      </c>
      <c r="C168" s="213">
        <v>9.67</v>
      </c>
      <c r="D168" s="213">
        <v>6.84</v>
      </c>
      <c r="E168" s="213">
        <v>21.927710843373504</v>
      </c>
      <c r="F168" s="215">
        <v>4127.47</v>
      </c>
      <c r="G168" s="213">
        <v>9.8704437706798931</v>
      </c>
      <c r="H168" s="214">
        <v>-2.2150943211847074</v>
      </c>
      <c r="J168" s="1"/>
      <c r="K168" s="1"/>
      <c r="L168" s="1"/>
      <c r="M168" s="1"/>
      <c r="N168" s="1"/>
      <c r="O168" s="1"/>
      <c r="P168" s="1"/>
      <c r="Q168" s="1"/>
      <c r="R168" s="1"/>
      <c r="S168" s="1"/>
    </row>
    <row r="169" spans="1:19" hidden="1">
      <c r="A169" s="226">
        <v>44743</v>
      </c>
      <c r="B169" s="213">
        <v>3</v>
      </c>
      <c r="C169" s="213">
        <v>10.210000000000001</v>
      </c>
      <c r="D169" s="213">
        <v>7.29</v>
      </c>
      <c r="E169" s="213">
        <v>23.448126175661987</v>
      </c>
      <c r="F169" s="215">
        <v>4300.3</v>
      </c>
      <c r="G169" s="213">
        <v>11.179767728057755</v>
      </c>
      <c r="H169" s="214">
        <v>1.5503516493108771</v>
      </c>
      <c r="J169" s="1"/>
      <c r="K169" s="1"/>
      <c r="L169" s="1"/>
      <c r="M169" s="1"/>
      <c r="N169" s="1"/>
      <c r="O169" s="1"/>
      <c r="P169" s="1"/>
      <c r="Q169" s="1"/>
      <c r="R169" s="1"/>
      <c r="S169" s="1"/>
    </row>
    <row r="170" spans="1:19" hidden="1">
      <c r="A170" s="226">
        <v>44774</v>
      </c>
      <c r="B170" s="213">
        <v>3</v>
      </c>
      <c r="C170" s="213">
        <v>10.84</v>
      </c>
      <c r="D170" s="213">
        <v>7.83</v>
      </c>
      <c r="E170" s="213">
        <v>21.521163073838</v>
      </c>
      <c r="F170" s="215">
        <v>4400.16</v>
      </c>
      <c r="G170" s="213">
        <v>15.584719205016185</v>
      </c>
      <c r="H170" s="214">
        <v>0.2802065147458066</v>
      </c>
      <c r="J170" s="1"/>
      <c r="K170" s="1"/>
      <c r="L170" s="1"/>
      <c r="M170" s="1"/>
      <c r="N170" s="1"/>
      <c r="O170" s="1"/>
      <c r="P170" s="1"/>
      <c r="Q170" s="1"/>
      <c r="R170" s="1"/>
      <c r="S170" s="1"/>
    </row>
    <row r="171" spans="1:19" ht="16.5" hidden="1" customHeight="1">
      <c r="A171" s="226">
        <v>44805</v>
      </c>
      <c r="B171" s="213">
        <v>3</v>
      </c>
      <c r="C171" s="213">
        <v>11.44</v>
      </c>
      <c r="D171" s="213">
        <v>8.33</v>
      </c>
      <c r="E171" s="213">
        <v>21.369220936013079</v>
      </c>
      <c r="F171" s="215">
        <v>4532.07</v>
      </c>
      <c r="G171" s="213">
        <v>18.190000000000001</v>
      </c>
      <c r="H171" s="214">
        <v>2.1087925670508767</v>
      </c>
      <c r="J171" s="1"/>
      <c r="K171" s="1"/>
      <c r="L171" s="1"/>
      <c r="M171" s="1"/>
      <c r="N171" s="1"/>
      <c r="O171" s="1"/>
      <c r="P171" s="1"/>
      <c r="Q171" s="1"/>
      <c r="R171" s="1"/>
      <c r="S171" s="1"/>
    </row>
    <row r="172" spans="1:19" ht="16.5" hidden="1" customHeight="1">
      <c r="A172" s="226">
        <v>44835</v>
      </c>
      <c r="B172" s="213">
        <v>3</v>
      </c>
      <c r="C172" s="213">
        <v>12.22</v>
      </c>
      <c r="D172" s="213">
        <v>9.15</v>
      </c>
      <c r="E172" s="213">
        <v>22.196556068878603</v>
      </c>
      <c r="F172" s="215">
        <v>4819.42</v>
      </c>
      <c r="G172" s="213">
        <v>27.348299880563577</v>
      </c>
      <c r="H172" s="214">
        <v>5.7115237087770332</v>
      </c>
      <c r="J172" s="1"/>
      <c r="K172" s="1"/>
      <c r="L172" s="1"/>
      <c r="M172" s="1"/>
      <c r="N172" s="1"/>
      <c r="O172" s="1"/>
      <c r="P172" s="1"/>
      <c r="Q172" s="1"/>
      <c r="R172" s="1"/>
      <c r="S172" s="1"/>
    </row>
    <row r="173" spans="1:19" ht="16.5" hidden="1" customHeight="1">
      <c r="A173" s="226">
        <v>44866</v>
      </c>
      <c r="B173" s="213">
        <v>3</v>
      </c>
      <c r="C173" s="213">
        <v>12.53</v>
      </c>
      <c r="D173" s="213">
        <v>9.48</v>
      </c>
      <c r="E173" s="213">
        <v>21.044683917907882</v>
      </c>
      <c r="F173" s="215">
        <v>4809.51</v>
      </c>
      <c r="G173" s="213">
        <v>19.908600890555441</v>
      </c>
      <c r="H173" s="214">
        <v>7.8417050646745201</v>
      </c>
      <c r="J173" s="1"/>
      <c r="K173" s="1"/>
      <c r="L173" s="1"/>
      <c r="M173" s="1"/>
      <c r="N173" s="1"/>
      <c r="O173" s="1"/>
      <c r="P173" s="1"/>
      <c r="Q173" s="1"/>
      <c r="R173" s="1"/>
      <c r="S173" s="1"/>
    </row>
    <row r="174" spans="1:19" ht="16.5" customHeight="1">
      <c r="A174" s="226">
        <v>44896</v>
      </c>
      <c r="B174" s="213">
        <v>3</v>
      </c>
      <c r="C174" s="213">
        <v>13.12</v>
      </c>
      <c r="D174" s="213">
        <v>9.99</v>
      </c>
      <c r="E174" s="213">
        <v>19.17993900372754</v>
      </c>
      <c r="F174" s="215">
        <v>4810.2</v>
      </c>
      <c r="G174" s="213">
        <v>20.824081423504715</v>
      </c>
      <c r="H174" s="214">
        <v>5.1919370609750271</v>
      </c>
      <c r="J174" s="1"/>
      <c r="K174" s="1"/>
      <c r="L174" s="1"/>
      <c r="M174" s="1"/>
      <c r="N174" s="1"/>
      <c r="O174" s="1"/>
      <c r="P174" s="1"/>
      <c r="Q174" s="1"/>
      <c r="R174" s="1"/>
      <c r="S174" s="1"/>
    </row>
    <row r="175" spans="1:19" ht="16.5" customHeight="1">
      <c r="A175" s="226">
        <v>44927</v>
      </c>
      <c r="B175" s="213">
        <v>3</v>
      </c>
      <c r="C175" s="213">
        <v>13.25</v>
      </c>
      <c r="D175" s="213">
        <v>10.43</v>
      </c>
      <c r="E175" s="213">
        <v>16.778567238120079</v>
      </c>
      <c r="F175" s="215">
        <v>4632.2</v>
      </c>
      <c r="G175" s="213">
        <v>16.309999999999999</v>
      </c>
      <c r="H175" s="214">
        <v>3.8933851314465473</v>
      </c>
      <c r="J175" s="1"/>
      <c r="K175" s="1"/>
      <c r="L175" s="1"/>
      <c r="M175" s="1"/>
      <c r="N175" s="1"/>
      <c r="O175" s="1"/>
      <c r="P175" s="1"/>
      <c r="Q175" s="1"/>
      <c r="R175" s="1"/>
      <c r="S175" s="1"/>
    </row>
    <row r="176" spans="1:19" ht="16.5" customHeight="1">
      <c r="A176" s="226">
        <v>44958</v>
      </c>
      <c r="B176" s="213">
        <v>3</v>
      </c>
      <c r="C176" s="213">
        <v>13.28</v>
      </c>
      <c r="D176" s="213">
        <v>10.86</v>
      </c>
      <c r="E176" s="213">
        <v>14.949892173030577</v>
      </c>
      <c r="F176" s="215">
        <v>4808.1400000000003</v>
      </c>
      <c r="G176" s="213">
        <v>22.95</v>
      </c>
      <c r="H176" s="214">
        <v>6.4253597997892653</v>
      </c>
      <c r="L176" s="1"/>
      <c r="M176" s="1"/>
      <c r="N176" s="1"/>
      <c r="O176" s="1"/>
      <c r="P176" s="1"/>
      <c r="Q176" s="1"/>
      <c r="R176" s="1"/>
    </row>
    <row r="177" spans="1:18" ht="16.5" customHeight="1">
      <c r="A177" s="226">
        <v>44986</v>
      </c>
      <c r="B177" s="213">
        <v>3</v>
      </c>
      <c r="C177" s="213">
        <v>13.34</v>
      </c>
      <c r="D177" s="213">
        <v>11.42</v>
      </c>
      <c r="E177" s="213">
        <v>12.42089589279065</v>
      </c>
      <c r="F177" s="215">
        <v>4627.2700000000004</v>
      </c>
      <c r="G177" s="213">
        <v>23.454771020370057</v>
      </c>
      <c r="H177" s="214">
        <v>8.5740166052088007</v>
      </c>
      <c r="L177" s="1"/>
      <c r="M177" s="1"/>
      <c r="N177" s="1"/>
      <c r="O177" s="1"/>
      <c r="P177" s="1"/>
      <c r="Q177" s="1"/>
      <c r="R177" s="1"/>
    </row>
    <row r="178" spans="1:18" ht="16.5" customHeight="1">
      <c r="A178" s="226">
        <v>45017</v>
      </c>
      <c r="B178" s="213">
        <v>3</v>
      </c>
      <c r="C178" s="213">
        <v>12.82</v>
      </c>
      <c r="D178" s="213">
        <v>11.51</v>
      </c>
      <c r="E178" s="213">
        <v>9.3121112330772036</v>
      </c>
      <c r="F178" s="215">
        <v>4669</v>
      </c>
      <c r="G178" s="213">
        <v>17.72</v>
      </c>
      <c r="H178" s="214">
        <v>5.4426619547864874</v>
      </c>
      <c r="L178" s="1"/>
      <c r="M178" s="1"/>
      <c r="N178" s="1"/>
      <c r="O178" s="1"/>
      <c r="P178" s="1"/>
      <c r="Q178" s="1"/>
      <c r="R178" s="1"/>
    </row>
    <row r="179" spans="1:18" ht="16.5" customHeight="1">
      <c r="A179" s="226">
        <v>45047</v>
      </c>
      <c r="B179" s="213">
        <v>3</v>
      </c>
      <c r="C179" s="213">
        <v>12.36</v>
      </c>
      <c r="D179" s="213">
        <v>11.59</v>
      </c>
      <c r="E179" s="213">
        <v>6.5821872560206662</v>
      </c>
      <c r="F179" s="215">
        <v>4408.6499999999996</v>
      </c>
      <c r="G179" s="213">
        <v>12.69</v>
      </c>
      <c r="H179" s="214">
        <v>1.178915306917383</v>
      </c>
      <c r="L179" s="1"/>
      <c r="M179" s="1"/>
      <c r="N179" s="1"/>
      <c r="O179" s="1"/>
      <c r="P179" s="1"/>
      <c r="Q179" s="1"/>
      <c r="R179" s="1"/>
    </row>
    <row r="180" spans="1:18" ht="16.5" customHeight="1">
      <c r="A180" s="226">
        <v>45078</v>
      </c>
      <c r="B180" s="213">
        <v>3</v>
      </c>
      <c r="C180" s="213">
        <v>12.13</v>
      </c>
      <c r="D180" s="213">
        <v>11.62</v>
      </c>
      <c r="E180" s="213">
        <v>4.8029704156186348</v>
      </c>
      <c r="F180" s="215">
        <v>4191.28</v>
      </c>
      <c r="G180" s="213">
        <v>1.55</v>
      </c>
      <c r="H180" s="214">
        <v>-3.5960675302663669</v>
      </c>
      <c r="L180" s="1"/>
      <c r="M180" s="1"/>
      <c r="N180" s="1"/>
      <c r="O180" s="1"/>
      <c r="P180" s="1"/>
      <c r="Q180" s="1"/>
      <c r="R180" s="1"/>
    </row>
    <row r="181" spans="1:18" ht="16.5" customHeight="1">
      <c r="A181" s="226">
        <v>45108</v>
      </c>
      <c r="B181" s="213">
        <v>3</v>
      </c>
      <c r="C181" s="213">
        <v>11.78</v>
      </c>
      <c r="D181" s="213">
        <v>11.44</v>
      </c>
      <c r="E181" s="213">
        <v>1.8167965773896677</v>
      </c>
      <c r="F181" s="215">
        <v>3923.49</v>
      </c>
      <c r="G181" s="213">
        <v>-8.76</v>
      </c>
      <c r="H181" s="214">
        <v>-12.142659754133122</v>
      </c>
      <c r="L181" s="1"/>
      <c r="M181" s="1"/>
      <c r="N181" s="1"/>
      <c r="O181" s="1"/>
      <c r="P181" s="1"/>
      <c r="Q181" s="1"/>
      <c r="R181" s="1"/>
    </row>
    <row r="182" spans="1:18" ht="16.5" customHeight="1">
      <c r="A182" s="226">
        <v>45139</v>
      </c>
      <c r="B182" s="213">
        <v>3</v>
      </c>
      <c r="C182" s="213">
        <v>11.43</v>
      </c>
      <c r="D182" s="213">
        <v>11.19</v>
      </c>
      <c r="E182" s="213">
        <v>3.7187647336162311</v>
      </c>
      <c r="F182" s="215">
        <v>4085.33</v>
      </c>
      <c r="G182" s="213">
        <v>-7.15</v>
      </c>
      <c r="H182" s="214">
        <v>-12.721174216990349</v>
      </c>
      <c r="J182" s="1"/>
      <c r="K182" s="1"/>
      <c r="L182" s="1"/>
      <c r="M182" s="1"/>
      <c r="N182" s="1"/>
      <c r="O182" s="1"/>
      <c r="P182" s="1"/>
      <c r="Q182" s="1"/>
      <c r="R182" s="1"/>
    </row>
    <row r="183" spans="1:18" ht="16.5" customHeight="1">
      <c r="A183" s="226">
        <v>45170</v>
      </c>
      <c r="B183" s="213">
        <v>3</v>
      </c>
      <c r="C183" s="213">
        <v>10.99</v>
      </c>
      <c r="D183" s="213">
        <v>10.88</v>
      </c>
      <c r="E183" s="213">
        <v>3.739028671737854</v>
      </c>
      <c r="F183" s="215">
        <v>4053.76</v>
      </c>
      <c r="G183" s="213">
        <v>-10.553897005121271</v>
      </c>
      <c r="H183" s="214">
        <v>-14.848309345997269</v>
      </c>
      <c r="J183" s="1"/>
      <c r="K183" s="1"/>
      <c r="L183" s="1"/>
      <c r="M183" s="1"/>
      <c r="N183" s="1"/>
      <c r="O183" s="1"/>
      <c r="P183" s="1"/>
      <c r="Q183" s="1"/>
      <c r="R183" s="1"/>
    </row>
    <row r="184" spans="1:18" ht="16.5" customHeight="1">
      <c r="A184" s="226">
        <v>45200</v>
      </c>
      <c r="B184" s="213">
        <v>3</v>
      </c>
      <c r="C184" s="213">
        <v>10.48</v>
      </c>
      <c r="D184" s="213">
        <v>10.51</v>
      </c>
      <c r="E184" s="213">
        <v>1.8044337515036979</v>
      </c>
      <c r="F184" s="215">
        <v>4060.83</v>
      </c>
      <c r="G184" s="213">
        <v>-15.740275800822513</v>
      </c>
      <c r="H184" s="214">
        <v>-13.517428767117334</v>
      </c>
      <c r="J184" s="1"/>
      <c r="K184" s="1"/>
      <c r="L184" s="1"/>
      <c r="M184" s="1"/>
      <c r="N184" s="1"/>
      <c r="O184" s="1"/>
      <c r="P184" s="1"/>
      <c r="Q184" s="1"/>
      <c r="R184" s="1"/>
    </row>
    <row r="185" spans="1:18" ht="16.5" customHeight="1">
      <c r="A185" s="226">
        <v>45231</v>
      </c>
      <c r="B185" s="213">
        <v>3</v>
      </c>
      <c r="C185" s="213">
        <v>10.15</v>
      </c>
      <c r="D185" s="213">
        <v>10.61</v>
      </c>
      <c r="E185" s="213">
        <v>-0.32322086759285495</v>
      </c>
      <c r="F185" s="215">
        <v>3980.67</v>
      </c>
      <c r="G185" s="213">
        <v>-17.233356412607527</v>
      </c>
      <c r="H185" s="214">
        <v>-18.27439689211009</v>
      </c>
      <c r="J185" s="1"/>
      <c r="K185" s="1"/>
      <c r="L185" s="1"/>
      <c r="M185" s="1"/>
      <c r="N185" s="1"/>
      <c r="O185" s="1"/>
      <c r="P185" s="1"/>
      <c r="Q185" s="1"/>
      <c r="R185" s="1"/>
    </row>
    <row r="186" spans="1:18" ht="16.5" customHeight="1">
      <c r="A186" s="226">
        <v>45261</v>
      </c>
      <c r="B186" s="213">
        <v>3</v>
      </c>
      <c r="C186" s="213">
        <v>9.2799999999999994</v>
      </c>
      <c r="D186" s="213">
        <v>10.33</v>
      </c>
      <c r="E186" s="213">
        <v>-0.72220642593118223</v>
      </c>
      <c r="F186" s="215">
        <v>3822.05</v>
      </c>
      <c r="G186" s="213">
        <v>-20.542804872978248</v>
      </c>
      <c r="H186" s="214">
        <v>-18.97337624313019</v>
      </c>
      <c r="J186" s="1"/>
      <c r="K186" s="1"/>
      <c r="L186" s="1"/>
      <c r="M186" s="1"/>
      <c r="N186" s="1"/>
      <c r="O186" s="1"/>
      <c r="P186" s="1"/>
      <c r="Q186" s="1"/>
      <c r="R186" s="1"/>
    </row>
    <row r="187" spans="1:18">
      <c r="A187" s="226"/>
      <c r="B187" s="227"/>
      <c r="C187" s="213"/>
      <c r="D187" s="228"/>
      <c r="E187" s="214"/>
      <c r="F187" s="215"/>
      <c r="G187" s="229" t="s">
        <v>3345</v>
      </c>
      <c r="H187" s="214"/>
    </row>
    <row r="188" spans="1:18" hidden="1">
      <c r="A188" s="230">
        <v>40984</v>
      </c>
      <c r="B188" s="213"/>
      <c r="C188" s="213"/>
      <c r="D188" s="213"/>
      <c r="E188" s="214"/>
      <c r="F188" s="215">
        <v>1761.02</v>
      </c>
      <c r="G188" s="231">
        <v>-6.95</v>
      </c>
      <c r="H188" s="214"/>
      <c r="J188" s="41"/>
    </row>
    <row r="189" spans="1:18" hidden="1">
      <c r="A189" s="230">
        <v>40991</v>
      </c>
      <c r="B189" s="213"/>
      <c r="C189" s="213"/>
      <c r="D189" s="213"/>
      <c r="E189" s="214"/>
      <c r="F189" s="215">
        <v>1761.87</v>
      </c>
      <c r="G189" s="231">
        <v>-5.67</v>
      </c>
      <c r="H189" s="214"/>
      <c r="J189" s="41"/>
    </row>
    <row r="190" spans="1:18" hidden="1">
      <c r="A190" s="230">
        <v>40998</v>
      </c>
      <c r="B190" s="213"/>
      <c r="C190" s="213"/>
      <c r="D190" s="213"/>
      <c r="E190" s="214"/>
      <c r="F190" s="215">
        <v>1784.66</v>
      </c>
      <c r="G190" s="231">
        <v>-5.04</v>
      </c>
      <c r="H190" s="214"/>
      <c r="J190" s="41"/>
    </row>
    <row r="191" spans="1:18" hidden="1">
      <c r="A191" s="230">
        <v>41005</v>
      </c>
      <c r="B191" s="213"/>
      <c r="C191" s="213"/>
      <c r="D191" s="213"/>
      <c r="E191" s="214"/>
      <c r="F191" s="215">
        <v>1772.58</v>
      </c>
      <c r="G191" s="231">
        <v>-2.98</v>
      </c>
      <c r="H191" s="214"/>
      <c r="J191" s="41"/>
    </row>
    <row r="192" spans="1:18" hidden="1">
      <c r="A192" s="230">
        <v>41012</v>
      </c>
      <c r="B192" s="213"/>
      <c r="C192" s="213"/>
      <c r="D192" s="213"/>
      <c r="E192" s="214"/>
      <c r="F192" s="215">
        <v>1778.78</v>
      </c>
      <c r="G192" s="231">
        <v>-2.21</v>
      </c>
      <c r="H192" s="214"/>
      <c r="J192" s="41"/>
    </row>
    <row r="193" spans="1:10" hidden="1">
      <c r="A193" s="230">
        <v>41019</v>
      </c>
      <c r="B193" s="213"/>
      <c r="C193" s="213"/>
      <c r="D193" s="213"/>
      <c r="E193" s="214"/>
      <c r="F193" s="215">
        <v>1776.06</v>
      </c>
      <c r="G193" s="231">
        <v>-0.37</v>
      </c>
      <c r="H193" s="214"/>
      <c r="J193" s="41"/>
    </row>
    <row r="194" spans="1:10" hidden="1">
      <c r="A194" s="230">
        <v>41026</v>
      </c>
      <c r="B194" s="213"/>
      <c r="C194" s="213"/>
      <c r="D194" s="213"/>
      <c r="E194" s="214"/>
      <c r="F194" s="215">
        <v>1764.63</v>
      </c>
      <c r="G194" s="231">
        <v>-1.0900000000000001</v>
      </c>
      <c r="H194" s="214"/>
      <c r="J194" s="41"/>
    </row>
    <row r="195" spans="1:10" hidden="1">
      <c r="A195" s="230">
        <v>41033</v>
      </c>
      <c r="B195" s="213"/>
      <c r="C195" s="213"/>
      <c r="D195" s="213"/>
      <c r="E195" s="214"/>
      <c r="F195" s="215">
        <v>1754.89</v>
      </c>
      <c r="G195" s="231">
        <v>-0.49</v>
      </c>
      <c r="H195" s="214"/>
      <c r="J195" s="41"/>
    </row>
    <row r="196" spans="1:10" hidden="1">
      <c r="A196" s="230">
        <v>41040</v>
      </c>
      <c r="B196" s="213"/>
      <c r="C196" s="213"/>
      <c r="D196" s="213"/>
      <c r="E196" s="214"/>
      <c r="F196" s="215">
        <v>1765</v>
      </c>
      <c r="G196" s="231">
        <v>-1.87</v>
      </c>
      <c r="H196" s="214"/>
      <c r="J196" s="41"/>
    </row>
    <row r="197" spans="1:10" hidden="1">
      <c r="A197" s="230">
        <v>41047</v>
      </c>
      <c r="B197" s="213"/>
      <c r="C197" s="213"/>
      <c r="D197" s="213"/>
      <c r="E197" s="214"/>
      <c r="F197" s="215">
        <v>1804.92</v>
      </c>
      <c r="G197" s="231">
        <v>-1.08</v>
      </c>
      <c r="H197" s="214"/>
      <c r="J197" s="41"/>
    </row>
    <row r="198" spans="1:10" hidden="1">
      <c r="A198" s="230">
        <v>41054</v>
      </c>
      <c r="B198" s="213"/>
      <c r="C198" s="213"/>
      <c r="D198" s="213"/>
      <c r="E198" s="214"/>
      <c r="F198" s="215">
        <v>1836.45</v>
      </c>
      <c r="G198" s="231">
        <v>0.27</v>
      </c>
      <c r="H198" s="214"/>
      <c r="J198" s="41"/>
    </row>
    <row r="199" spans="1:10" hidden="1">
      <c r="A199" s="230">
        <v>41061</v>
      </c>
      <c r="B199" s="213"/>
      <c r="C199" s="213"/>
      <c r="D199" s="213"/>
      <c r="E199" s="214"/>
      <c r="F199" s="215">
        <v>1833.8</v>
      </c>
      <c r="G199" s="231">
        <v>2.48</v>
      </c>
      <c r="H199" s="214"/>
      <c r="J199" s="41"/>
    </row>
    <row r="200" spans="1:10" hidden="1">
      <c r="A200" s="230">
        <v>41068</v>
      </c>
      <c r="B200" s="213"/>
      <c r="C200" s="213"/>
      <c r="D200" s="213"/>
      <c r="E200" s="214"/>
      <c r="F200" s="215">
        <v>1766.91</v>
      </c>
      <c r="G200" s="231">
        <v>-0.16</v>
      </c>
      <c r="H200" s="214"/>
      <c r="J200" s="41"/>
    </row>
    <row r="201" spans="1:10" hidden="1">
      <c r="A201" s="230">
        <v>41075</v>
      </c>
      <c r="B201" s="213"/>
      <c r="C201" s="213"/>
      <c r="D201" s="213"/>
      <c r="E201" s="214"/>
      <c r="F201" s="215">
        <v>1787.63</v>
      </c>
      <c r="G201" s="231">
        <v>0.35</v>
      </c>
      <c r="H201" s="214"/>
      <c r="J201" s="41"/>
    </row>
    <row r="202" spans="1:10" hidden="1">
      <c r="A202" s="232">
        <v>41082</v>
      </c>
      <c r="B202" s="213"/>
      <c r="C202" s="213"/>
      <c r="D202" s="213"/>
      <c r="E202" s="214"/>
      <c r="F202" s="215">
        <v>1775.99</v>
      </c>
      <c r="G202" s="231">
        <v>-0.17</v>
      </c>
      <c r="H202" s="214"/>
      <c r="J202" s="41"/>
    </row>
    <row r="203" spans="1:10" hidden="1">
      <c r="A203" s="232">
        <v>41089</v>
      </c>
      <c r="B203" s="213"/>
      <c r="C203" s="213"/>
      <c r="D203" s="213"/>
      <c r="E203" s="214"/>
      <c r="F203" s="215">
        <v>1805.6</v>
      </c>
      <c r="G203" s="231">
        <v>1.43</v>
      </c>
      <c r="H203" s="214"/>
      <c r="J203" s="41"/>
    </row>
    <row r="204" spans="1:10" hidden="1">
      <c r="A204" s="230">
        <v>41096</v>
      </c>
      <c r="B204" s="213"/>
      <c r="C204" s="213"/>
      <c r="D204" s="213"/>
      <c r="E204" s="214"/>
      <c r="F204" s="215">
        <v>1774.37</v>
      </c>
      <c r="G204" s="231">
        <v>0.39</v>
      </c>
      <c r="H204" s="214"/>
      <c r="J204" s="41"/>
    </row>
    <row r="205" spans="1:10" hidden="1">
      <c r="A205" s="230">
        <v>41103</v>
      </c>
      <c r="B205" s="213"/>
      <c r="C205" s="213"/>
      <c r="D205" s="213"/>
      <c r="E205" s="214"/>
      <c r="F205" s="215">
        <v>1790.12</v>
      </c>
      <c r="G205" s="231">
        <v>1.81</v>
      </c>
      <c r="H205" s="214"/>
      <c r="J205" s="41"/>
    </row>
    <row r="206" spans="1:10" hidden="1">
      <c r="A206" s="230">
        <v>41110</v>
      </c>
      <c r="B206" s="213"/>
      <c r="C206" s="213"/>
      <c r="D206" s="213"/>
      <c r="E206" s="214"/>
      <c r="F206" s="215">
        <v>1775.8</v>
      </c>
      <c r="G206" s="231">
        <v>1.0418266960267264</v>
      </c>
      <c r="H206" s="214"/>
      <c r="J206" s="41"/>
    </row>
    <row r="207" spans="1:10" hidden="1">
      <c r="A207" s="230">
        <v>41117</v>
      </c>
      <c r="B207" s="213"/>
      <c r="C207" s="213"/>
      <c r="D207" s="213"/>
      <c r="E207" s="214"/>
      <c r="F207" s="215">
        <v>1789.22</v>
      </c>
      <c r="G207" s="231">
        <v>1.38</v>
      </c>
      <c r="H207" s="214"/>
      <c r="J207" s="41"/>
    </row>
    <row r="208" spans="1:10" hidden="1">
      <c r="A208" s="230">
        <v>41124</v>
      </c>
      <c r="B208" s="213"/>
      <c r="C208" s="213"/>
      <c r="D208" s="213"/>
      <c r="E208" s="214"/>
      <c r="F208" s="215">
        <v>1790.97</v>
      </c>
      <c r="G208" s="231">
        <v>1.04</v>
      </c>
      <c r="H208" s="214"/>
      <c r="J208" s="41"/>
    </row>
    <row r="209" spans="1:10" hidden="1">
      <c r="A209" s="230">
        <v>41131</v>
      </c>
      <c r="B209" s="213"/>
      <c r="C209" s="213"/>
      <c r="D209" s="213"/>
      <c r="E209" s="214"/>
      <c r="F209" s="215">
        <v>1788.08</v>
      </c>
      <c r="G209" s="231">
        <v>-0.72</v>
      </c>
      <c r="H209" s="214"/>
      <c r="J209" s="41"/>
    </row>
    <row r="210" spans="1:10" hidden="1">
      <c r="A210" s="230">
        <v>41138</v>
      </c>
      <c r="B210" s="213"/>
      <c r="C210" s="213"/>
      <c r="D210" s="213"/>
      <c r="E210" s="214"/>
      <c r="F210" s="215">
        <v>1825.52</v>
      </c>
      <c r="G210" s="231">
        <v>3.29</v>
      </c>
      <c r="H210" s="214"/>
      <c r="J210" s="41"/>
    </row>
    <row r="211" spans="1:10" hidden="1">
      <c r="A211" s="230">
        <v>41145</v>
      </c>
      <c r="B211" s="213"/>
      <c r="C211" s="213"/>
      <c r="D211" s="213"/>
      <c r="E211" s="214"/>
      <c r="F211" s="215">
        <v>1808.33</v>
      </c>
      <c r="G211" s="231">
        <v>0.93</v>
      </c>
      <c r="H211" s="214"/>
      <c r="J211" s="41"/>
    </row>
    <row r="212" spans="1:10" hidden="1">
      <c r="A212" s="230">
        <v>41152</v>
      </c>
      <c r="B212" s="213"/>
      <c r="C212" s="213"/>
      <c r="D212" s="213"/>
      <c r="E212" s="214"/>
      <c r="F212" s="215">
        <v>1830.5</v>
      </c>
      <c r="G212" s="231">
        <v>2.82</v>
      </c>
      <c r="H212" s="214"/>
      <c r="J212" s="41"/>
    </row>
    <row r="213" spans="1:10" hidden="1">
      <c r="A213" s="230">
        <v>41159</v>
      </c>
      <c r="B213" s="213"/>
      <c r="C213" s="213"/>
      <c r="D213" s="213"/>
      <c r="E213" s="214"/>
      <c r="F213" s="215">
        <v>1804.09</v>
      </c>
      <c r="G213" s="231">
        <v>0.83</v>
      </c>
      <c r="H213" s="214"/>
      <c r="J213" s="41"/>
    </row>
    <row r="214" spans="1:10" hidden="1">
      <c r="A214" s="230">
        <v>41166</v>
      </c>
      <c r="B214" s="213"/>
      <c r="C214" s="213"/>
      <c r="D214" s="213"/>
      <c r="E214" s="214"/>
      <c r="F214" s="215">
        <v>1799.57</v>
      </c>
      <c r="G214" s="231">
        <v>-1.35</v>
      </c>
      <c r="H214" s="214"/>
      <c r="J214" s="41"/>
    </row>
    <row r="215" spans="1:10" hidden="1">
      <c r="A215" s="230">
        <v>41173</v>
      </c>
      <c r="B215" s="213"/>
      <c r="C215" s="213"/>
      <c r="D215" s="213"/>
      <c r="E215" s="214"/>
      <c r="F215" s="215">
        <v>1798.98</v>
      </c>
      <c r="G215" s="231">
        <v>-4.42</v>
      </c>
      <c r="H215" s="214"/>
      <c r="J215" s="41"/>
    </row>
    <row r="216" spans="1:10" hidden="1">
      <c r="A216" s="230">
        <v>41180</v>
      </c>
      <c r="B216" s="213"/>
      <c r="C216" s="213"/>
      <c r="D216" s="213"/>
      <c r="E216" s="214"/>
      <c r="F216" s="215">
        <v>1798.08</v>
      </c>
      <c r="G216" s="231">
        <v>-5.75</v>
      </c>
      <c r="H216" s="214"/>
      <c r="J216" s="41"/>
    </row>
    <row r="217" spans="1:10" hidden="1">
      <c r="A217" s="230">
        <v>41187</v>
      </c>
      <c r="B217" s="213"/>
      <c r="C217" s="213"/>
      <c r="D217" s="213"/>
      <c r="E217" s="214"/>
      <c r="F217" s="215">
        <v>1797.68</v>
      </c>
      <c r="G217" s="231">
        <v>-8.6300000000000008</v>
      </c>
      <c r="H217" s="214"/>
      <c r="J217" s="41"/>
    </row>
    <row r="218" spans="1:10" hidden="1">
      <c r="A218" s="230">
        <v>41194</v>
      </c>
      <c r="B218" s="213"/>
      <c r="C218" s="213"/>
      <c r="D218" s="213"/>
      <c r="E218" s="214"/>
      <c r="F218" s="215">
        <v>1797.68</v>
      </c>
      <c r="G218" s="231">
        <v>-5.22</v>
      </c>
      <c r="H218" s="214"/>
      <c r="J218" s="41"/>
    </row>
    <row r="219" spans="1:10" hidden="1">
      <c r="A219" s="230">
        <v>41201</v>
      </c>
      <c r="B219" s="213"/>
      <c r="C219" s="213"/>
      <c r="D219" s="213"/>
      <c r="E219" s="214"/>
      <c r="F219" s="215">
        <v>1797.66</v>
      </c>
      <c r="G219" s="231">
        <v>-5.39</v>
      </c>
      <c r="H219" s="214"/>
      <c r="J219" s="41"/>
    </row>
    <row r="220" spans="1:10" hidden="1">
      <c r="A220" s="230">
        <v>41208</v>
      </c>
      <c r="B220" s="213"/>
      <c r="C220" s="213"/>
      <c r="D220" s="213"/>
      <c r="E220" s="214"/>
      <c r="F220" s="215">
        <v>1816.97</v>
      </c>
      <c r="G220" s="231">
        <v>-3.25</v>
      </c>
      <c r="H220" s="214"/>
      <c r="J220" s="41"/>
    </row>
    <row r="221" spans="1:10" hidden="1">
      <c r="A221" s="230">
        <v>41215</v>
      </c>
      <c r="B221" s="213"/>
      <c r="C221" s="213"/>
      <c r="D221" s="213"/>
      <c r="E221" s="214"/>
      <c r="F221" s="215">
        <v>1825.5</v>
      </c>
      <c r="G221" s="231">
        <v>-3.4</v>
      </c>
      <c r="H221" s="214"/>
      <c r="J221" s="41"/>
    </row>
    <row r="222" spans="1:10" hidden="1">
      <c r="A222" s="230">
        <v>41222</v>
      </c>
      <c r="B222" s="213"/>
      <c r="C222" s="213"/>
      <c r="D222" s="213"/>
      <c r="E222" s="214"/>
      <c r="F222" s="215">
        <v>1814.21</v>
      </c>
      <c r="G222" s="231">
        <v>-5.4</v>
      </c>
      <c r="H222" s="214"/>
      <c r="J222" s="41"/>
    </row>
    <row r="223" spans="1:10" hidden="1">
      <c r="A223" s="230">
        <v>41229</v>
      </c>
      <c r="B223" s="213"/>
      <c r="C223" s="213"/>
      <c r="D223" s="213"/>
      <c r="E223" s="214"/>
      <c r="F223" s="215">
        <v>1822.61</v>
      </c>
      <c r="G223" s="231">
        <v>-4.6900000000000004</v>
      </c>
      <c r="H223" s="214"/>
      <c r="J223" s="41"/>
    </row>
    <row r="224" spans="1:10" hidden="1">
      <c r="A224" s="230">
        <v>41236</v>
      </c>
      <c r="B224" s="213"/>
      <c r="C224" s="213"/>
      <c r="D224" s="213"/>
      <c r="E224" s="214"/>
      <c r="F224" s="215">
        <v>1815.76</v>
      </c>
      <c r="G224" s="231">
        <v>-6.05</v>
      </c>
      <c r="H224" s="214"/>
      <c r="J224" s="41"/>
    </row>
    <row r="225" spans="1:10" hidden="1">
      <c r="A225" s="230">
        <v>41243</v>
      </c>
      <c r="B225" s="213"/>
      <c r="C225" s="213"/>
      <c r="D225" s="213"/>
      <c r="E225" s="214"/>
      <c r="F225" s="215">
        <v>1817.93</v>
      </c>
      <c r="G225" s="231">
        <v>-6.7</v>
      </c>
      <c r="H225" s="214"/>
      <c r="J225" s="41"/>
    </row>
    <row r="226" spans="1:10" hidden="1">
      <c r="A226" s="230">
        <v>41250</v>
      </c>
      <c r="B226" s="213"/>
      <c r="C226" s="213"/>
      <c r="D226" s="213"/>
      <c r="E226" s="214"/>
      <c r="F226" s="215">
        <v>1803.69</v>
      </c>
      <c r="G226" s="231">
        <v>-6.57</v>
      </c>
      <c r="H226" s="214"/>
      <c r="J226" s="41"/>
    </row>
    <row r="227" spans="1:10" hidden="1">
      <c r="A227" s="230">
        <v>41257</v>
      </c>
      <c r="B227" s="213"/>
      <c r="C227" s="213"/>
      <c r="D227" s="213"/>
      <c r="E227" s="214"/>
      <c r="F227" s="215">
        <v>1795.05</v>
      </c>
      <c r="G227" s="231">
        <v>-7.36</v>
      </c>
      <c r="H227" s="214"/>
      <c r="J227" s="41"/>
    </row>
    <row r="228" spans="1:10" hidden="1">
      <c r="A228" s="230">
        <v>41264</v>
      </c>
      <c r="B228" s="213"/>
      <c r="C228" s="213"/>
      <c r="D228" s="213"/>
      <c r="E228" s="214"/>
      <c r="F228" s="215">
        <v>1788.87</v>
      </c>
      <c r="G228" s="231">
        <v>-7.59</v>
      </c>
      <c r="H228" s="214"/>
      <c r="J228" s="41"/>
    </row>
    <row r="229" spans="1:10" hidden="1">
      <c r="A229" s="230">
        <v>41271</v>
      </c>
      <c r="B229" s="213"/>
      <c r="C229" s="213"/>
      <c r="D229" s="213"/>
      <c r="E229" s="214"/>
      <c r="F229" s="215">
        <v>1771.54</v>
      </c>
      <c r="G229" s="231">
        <v>-8.61</v>
      </c>
      <c r="H229" s="214"/>
      <c r="J229" s="41"/>
    </row>
    <row r="230" spans="1:10" hidden="1">
      <c r="A230" s="230">
        <v>41278</v>
      </c>
      <c r="B230" s="213"/>
      <c r="C230" s="213"/>
      <c r="D230" s="213"/>
      <c r="E230" s="214"/>
      <c r="F230" s="215">
        <v>1760.83</v>
      </c>
      <c r="G230" s="231">
        <v>-7.24</v>
      </c>
      <c r="H230" s="214"/>
      <c r="J230" s="41"/>
    </row>
    <row r="231" spans="1:10" hidden="1">
      <c r="A231" s="230">
        <v>41285</v>
      </c>
      <c r="B231" s="213"/>
      <c r="C231" s="213"/>
      <c r="D231" s="213"/>
      <c r="E231" s="214"/>
      <c r="F231" s="215">
        <v>1761.5</v>
      </c>
      <c r="G231" s="231">
        <v>-5</v>
      </c>
      <c r="H231" s="214"/>
      <c r="J231" s="41"/>
    </row>
    <row r="232" spans="1:10" hidden="1">
      <c r="A232" s="230">
        <v>41292</v>
      </c>
      <c r="B232" s="213"/>
      <c r="C232" s="213"/>
      <c r="D232" s="213"/>
      <c r="E232" s="214"/>
      <c r="F232" s="215">
        <v>1767.78</v>
      </c>
      <c r="G232" s="231">
        <v>-3.25</v>
      </c>
      <c r="H232" s="214"/>
      <c r="J232" s="41"/>
    </row>
    <row r="233" spans="1:10" hidden="1">
      <c r="A233" s="230">
        <v>41299</v>
      </c>
      <c r="B233" s="213"/>
      <c r="C233" s="213"/>
      <c r="D233" s="213"/>
      <c r="E233" s="214"/>
      <c r="F233" s="215">
        <v>1779.73</v>
      </c>
      <c r="G233" s="231">
        <v>-1.93</v>
      </c>
      <c r="H233" s="214"/>
      <c r="J233" s="41"/>
    </row>
    <row r="234" spans="1:10" hidden="1">
      <c r="A234" s="230">
        <v>41306</v>
      </c>
      <c r="B234" s="213"/>
      <c r="C234" s="213"/>
      <c r="D234" s="213"/>
      <c r="E234" s="214"/>
      <c r="F234" s="215">
        <v>1775.65</v>
      </c>
      <c r="G234" s="231">
        <v>-1.23</v>
      </c>
      <c r="H234" s="214"/>
      <c r="J234" s="41"/>
    </row>
    <row r="235" spans="1:10" hidden="1">
      <c r="A235" s="230">
        <v>41313</v>
      </c>
      <c r="B235" s="213"/>
      <c r="C235" s="213"/>
      <c r="D235" s="213"/>
      <c r="E235" s="214"/>
      <c r="F235" s="215">
        <v>1795.21</v>
      </c>
      <c r="G235" s="231">
        <v>0.92</v>
      </c>
      <c r="H235" s="214"/>
      <c r="J235" s="41"/>
    </row>
    <row r="236" spans="1:10" hidden="1">
      <c r="A236" s="230">
        <v>41320</v>
      </c>
      <c r="B236" s="213"/>
      <c r="C236" s="213"/>
      <c r="D236" s="213"/>
      <c r="E236" s="214"/>
      <c r="F236" s="215">
        <v>1783.19</v>
      </c>
      <c r="G236" s="231">
        <v>-0.45</v>
      </c>
      <c r="H236" s="214"/>
      <c r="J236" s="41"/>
    </row>
    <row r="237" spans="1:10" hidden="1">
      <c r="A237" s="230">
        <v>41327</v>
      </c>
      <c r="B237" s="213"/>
      <c r="C237" s="213"/>
      <c r="D237" s="213"/>
      <c r="E237" s="214"/>
      <c r="F237" s="215">
        <v>1798.21</v>
      </c>
      <c r="G237" s="231">
        <v>0.93</v>
      </c>
      <c r="H237" s="214"/>
      <c r="J237" s="41"/>
    </row>
    <row r="238" spans="1:10" hidden="1">
      <c r="A238" s="230">
        <v>41334</v>
      </c>
      <c r="B238" s="213"/>
      <c r="C238" s="213"/>
      <c r="D238" s="213"/>
      <c r="E238" s="214"/>
      <c r="F238" s="215">
        <v>1814.28</v>
      </c>
      <c r="G238" s="231">
        <v>2.68</v>
      </c>
      <c r="H238" s="214"/>
      <c r="J238" s="41"/>
    </row>
    <row r="239" spans="1:10" hidden="1">
      <c r="A239" s="230">
        <v>41341</v>
      </c>
      <c r="B239" s="213"/>
      <c r="C239" s="213"/>
      <c r="D239" s="213"/>
      <c r="E239" s="214"/>
      <c r="F239" s="215">
        <v>1803.65</v>
      </c>
      <c r="G239" s="231">
        <v>1.68</v>
      </c>
      <c r="H239" s="214"/>
      <c r="J239" s="41"/>
    </row>
    <row r="240" spans="1:10" hidden="1">
      <c r="A240" s="230">
        <v>41348</v>
      </c>
      <c r="B240" s="213"/>
      <c r="C240" s="213"/>
      <c r="D240" s="213"/>
      <c r="E240" s="214"/>
      <c r="F240" s="215">
        <v>1797.28</v>
      </c>
      <c r="G240" s="231">
        <v>2.06</v>
      </c>
      <c r="H240" s="214"/>
      <c r="J240" s="41"/>
    </row>
    <row r="241" spans="1:10" hidden="1">
      <c r="A241" s="230">
        <v>41355</v>
      </c>
      <c r="B241" s="213"/>
      <c r="C241" s="213"/>
      <c r="D241" s="213"/>
      <c r="E241" s="214"/>
      <c r="F241" s="215">
        <v>1822.78</v>
      </c>
      <c r="G241" s="231">
        <v>3.68</v>
      </c>
      <c r="H241" s="214"/>
      <c r="J241" s="41"/>
    </row>
    <row r="242" spans="1:10" hidden="1">
      <c r="A242" s="230">
        <v>41362</v>
      </c>
      <c r="B242" s="213"/>
      <c r="C242" s="213"/>
      <c r="D242" s="213"/>
      <c r="E242" s="214"/>
      <c r="F242" s="215">
        <v>1832.2</v>
      </c>
      <c r="G242" s="231">
        <v>3.44</v>
      </c>
      <c r="H242" s="214"/>
      <c r="J242" s="41"/>
    </row>
    <row r="243" spans="1:10" hidden="1">
      <c r="A243" s="230">
        <v>41369</v>
      </c>
      <c r="B243" s="213"/>
      <c r="C243" s="213"/>
      <c r="D243" s="213"/>
      <c r="E243" s="214"/>
      <c r="F243" s="215">
        <v>1829.01</v>
      </c>
      <c r="G243" s="231">
        <v>3.18</v>
      </c>
      <c r="H243" s="214"/>
      <c r="J243" s="41"/>
    </row>
    <row r="244" spans="1:10" hidden="1">
      <c r="A244" s="230">
        <v>41376</v>
      </c>
      <c r="B244" s="213"/>
      <c r="C244" s="213"/>
      <c r="D244" s="213"/>
      <c r="E244" s="214"/>
      <c r="F244" s="215">
        <v>1823.84</v>
      </c>
      <c r="G244" s="231">
        <v>2.02</v>
      </c>
      <c r="H244" s="214"/>
      <c r="J244" s="41"/>
    </row>
    <row r="245" spans="1:10" hidden="1">
      <c r="A245" s="230">
        <v>41383</v>
      </c>
      <c r="B245" s="213"/>
      <c r="C245" s="213"/>
      <c r="D245" s="213"/>
      <c r="E245" s="214"/>
      <c r="F245" s="215">
        <v>1847.02</v>
      </c>
      <c r="G245" s="231">
        <v>4.0999999999999996</v>
      </c>
      <c r="H245" s="214"/>
      <c r="J245" s="41"/>
    </row>
    <row r="246" spans="1:10" hidden="1">
      <c r="A246" s="230">
        <v>41390</v>
      </c>
      <c r="B246" s="213"/>
      <c r="C246" s="213"/>
      <c r="D246" s="213"/>
      <c r="E246" s="214"/>
      <c r="F246" s="215">
        <v>1830.84</v>
      </c>
      <c r="G246" s="231">
        <v>3.8</v>
      </c>
      <c r="H246" s="214"/>
      <c r="J246" s="41"/>
    </row>
    <row r="247" spans="1:10" hidden="1">
      <c r="A247" s="230">
        <v>41397</v>
      </c>
      <c r="B247" s="213"/>
      <c r="C247" s="213"/>
      <c r="D247" s="213"/>
      <c r="E247" s="214"/>
      <c r="F247" s="215">
        <v>1836.34</v>
      </c>
      <c r="G247" s="231">
        <v>4.33</v>
      </c>
      <c r="H247" s="214"/>
      <c r="J247" s="41"/>
    </row>
    <row r="248" spans="1:10" hidden="1">
      <c r="A248" s="230">
        <v>41404</v>
      </c>
      <c r="B248" s="213"/>
      <c r="C248" s="213"/>
      <c r="D248" s="213"/>
      <c r="E248" s="214"/>
      <c r="F248" s="215">
        <v>1833.07</v>
      </c>
      <c r="G248" s="231">
        <v>3.22</v>
      </c>
      <c r="H248" s="214"/>
      <c r="J248" s="41"/>
    </row>
    <row r="249" spans="1:10" hidden="1">
      <c r="A249" s="230">
        <v>41411</v>
      </c>
      <c r="B249" s="213"/>
      <c r="C249" s="213"/>
      <c r="D249" s="213"/>
      <c r="E249" s="214"/>
      <c r="F249" s="215">
        <v>1838.82</v>
      </c>
      <c r="G249" s="231">
        <v>2.52</v>
      </c>
      <c r="H249" s="214"/>
      <c r="J249" s="41"/>
    </row>
    <row r="250" spans="1:10" hidden="1">
      <c r="A250" s="230">
        <v>41418</v>
      </c>
      <c r="B250" s="213"/>
      <c r="C250" s="213"/>
      <c r="D250" s="213"/>
      <c r="E250" s="214"/>
      <c r="F250" s="215">
        <v>1864.0229999999999</v>
      </c>
      <c r="G250" s="231">
        <v>1.02</v>
      </c>
      <c r="H250" s="214"/>
      <c r="J250" s="41"/>
    </row>
    <row r="251" spans="1:10" hidden="1">
      <c r="A251" s="230">
        <v>41425</v>
      </c>
      <c r="B251" s="213"/>
      <c r="C251" s="213"/>
      <c r="D251" s="213"/>
      <c r="E251" s="214"/>
      <c r="F251" s="215">
        <v>1891.48</v>
      </c>
      <c r="G251" s="231">
        <v>3.48</v>
      </c>
      <c r="H251" s="214"/>
      <c r="J251" s="41"/>
    </row>
    <row r="252" spans="1:10" hidden="1">
      <c r="A252" s="230">
        <v>41432</v>
      </c>
      <c r="B252" s="213"/>
      <c r="C252" s="213"/>
      <c r="D252" s="213"/>
      <c r="E252" s="214"/>
      <c r="F252" s="215">
        <v>1907.88</v>
      </c>
      <c r="G252" s="231">
        <v>7.01</v>
      </c>
      <c r="H252" s="214"/>
      <c r="J252" s="41"/>
    </row>
    <row r="253" spans="1:10" hidden="1">
      <c r="A253" s="230">
        <v>41439</v>
      </c>
      <c r="B253" s="213"/>
      <c r="C253" s="213"/>
      <c r="D253" s="213"/>
      <c r="E253" s="214"/>
      <c r="F253" s="215">
        <v>1895.01</v>
      </c>
      <c r="G253" s="231">
        <v>6.26</v>
      </c>
      <c r="H253" s="214"/>
      <c r="J253" s="41"/>
    </row>
    <row r="254" spans="1:10" hidden="1">
      <c r="A254" s="230">
        <v>41446</v>
      </c>
      <c r="B254" s="213"/>
      <c r="C254" s="213"/>
      <c r="D254" s="213"/>
      <c r="E254" s="214"/>
      <c r="F254" s="215">
        <v>1937.26</v>
      </c>
      <c r="G254" s="231">
        <v>9.43</v>
      </c>
      <c r="H254" s="214"/>
      <c r="J254" s="41"/>
    </row>
    <row r="255" spans="1:10" hidden="1">
      <c r="A255" s="230">
        <v>41453</v>
      </c>
      <c r="B255" s="213"/>
      <c r="C255" s="213"/>
      <c r="D255" s="213"/>
      <c r="E255" s="214"/>
      <c r="F255" s="215">
        <v>1922.63</v>
      </c>
      <c r="G255" s="231">
        <v>7.04</v>
      </c>
      <c r="H255" s="214"/>
      <c r="J255" s="41"/>
    </row>
    <row r="256" spans="1:10" hidden="1">
      <c r="A256" s="230">
        <v>41460</v>
      </c>
      <c r="B256" s="213"/>
      <c r="C256" s="213"/>
      <c r="D256" s="213"/>
      <c r="E256" s="214"/>
      <c r="F256" s="215">
        <v>1915.45</v>
      </c>
      <c r="G256" s="231">
        <v>8.1199999999999992</v>
      </c>
      <c r="H256" s="214"/>
      <c r="J256" s="41"/>
    </row>
    <row r="257" spans="1:10" hidden="1">
      <c r="A257" s="230">
        <v>41467</v>
      </c>
      <c r="B257" s="213"/>
      <c r="C257" s="213"/>
      <c r="D257" s="213"/>
      <c r="E257" s="214"/>
      <c r="F257" s="215">
        <v>1910.79</v>
      </c>
      <c r="G257" s="231">
        <v>6.88</v>
      </c>
      <c r="H257" s="214"/>
      <c r="J257" s="41"/>
    </row>
    <row r="258" spans="1:10" hidden="1">
      <c r="A258" s="230">
        <v>41474</v>
      </c>
      <c r="B258" s="213"/>
      <c r="C258" s="213"/>
      <c r="D258" s="213"/>
      <c r="E258" s="214"/>
      <c r="F258" s="215">
        <v>1883.29</v>
      </c>
      <c r="G258" s="231">
        <v>5.91</v>
      </c>
      <c r="H258" s="214"/>
      <c r="J258" s="41"/>
    </row>
    <row r="259" spans="1:10" hidden="1">
      <c r="A259" s="230">
        <v>41481</v>
      </c>
      <c r="B259" s="213"/>
      <c r="C259" s="213"/>
      <c r="D259" s="213"/>
      <c r="E259" s="214"/>
      <c r="F259" s="215">
        <v>1887.4</v>
      </c>
      <c r="G259" s="231">
        <v>4.8899999999999997</v>
      </c>
      <c r="H259" s="214"/>
      <c r="J259" s="41"/>
    </row>
    <row r="260" spans="1:10" hidden="1">
      <c r="A260" s="230">
        <v>41488</v>
      </c>
      <c r="B260" s="213"/>
      <c r="C260" s="213"/>
      <c r="D260" s="213"/>
      <c r="E260" s="214"/>
      <c r="F260" s="215">
        <v>1896.65</v>
      </c>
      <c r="G260" s="231">
        <v>6.11</v>
      </c>
      <c r="H260" s="214"/>
      <c r="J260" s="41"/>
    </row>
    <row r="261" spans="1:10" hidden="1">
      <c r="A261" s="230">
        <v>41495</v>
      </c>
      <c r="B261" s="213"/>
      <c r="C261" s="213"/>
      <c r="D261" s="213"/>
      <c r="E261" s="214"/>
      <c r="F261" s="215">
        <v>1877.23</v>
      </c>
      <c r="G261" s="231">
        <v>4.99</v>
      </c>
      <c r="H261" s="214"/>
      <c r="J261" s="41"/>
    </row>
    <row r="262" spans="1:10" hidden="1">
      <c r="A262" s="230">
        <v>41502</v>
      </c>
      <c r="B262" s="213"/>
      <c r="C262" s="213"/>
      <c r="D262" s="213"/>
      <c r="E262" s="214"/>
      <c r="F262" s="215">
        <v>1901.03</v>
      </c>
      <c r="G262" s="231">
        <v>4.6100000000000003</v>
      </c>
      <c r="H262" s="214"/>
      <c r="J262" s="41"/>
    </row>
    <row r="263" spans="1:10" hidden="1">
      <c r="A263" s="230">
        <v>41509</v>
      </c>
      <c r="B263" s="213"/>
      <c r="C263" s="213"/>
      <c r="D263" s="213"/>
      <c r="E263" s="214"/>
      <c r="F263" s="215">
        <v>1921.99</v>
      </c>
      <c r="G263" s="231">
        <v>6.02</v>
      </c>
      <c r="H263" s="214"/>
      <c r="J263" s="41"/>
    </row>
    <row r="264" spans="1:10" hidden="1">
      <c r="A264" s="232">
        <v>41516</v>
      </c>
      <c r="B264" s="213"/>
      <c r="C264" s="213"/>
      <c r="D264" s="213"/>
      <c r="E264" s="214"/>
      <c r="F264" s="215">
        <v>1943.04</v>
      </c>
      <c r="G264" s="231">
        <v>6</v>
      </c>
      <c r="H264" s="214"/>
      <c r="J264" s="41"/>
    </row>
    <row r="265" spans="1:10" hidden="1">
      <c r="A265" s="230">
        <v>41523</v>
      </c>
      <c r="B265" s="213"/>
      <c r="C265" s="213"/>
      <c r="D265" s="213"/>
      <c r="E265" s="214"/>
      <c r="F265" s="215">
        <v>1952.11</v>
      </c>
      <c r="G265" s="231">
        <v>7.61</v>
      </c>
      <c r="H265" s="214"/>
      <c r="J265" s="41"/>
    </row>
    <row r="266" spans="1:10" hidden="1">
      <c r="A266" s="230">
        <v>41530</v>
      </c>
      <c r="B266" s="213"/>
      <c r="C266" s="213"/>
      <c r="D266" s="213"/>
      <c r="E266" s="214"/>
      <c r="F266" s="215">
        <v>1919.25</v>
      </c>
      <c r="G266" s="231">
        <v>6.49</v>
      </c>
      <c r="H266" s="214"/>
      <c r="J266" s="41"/>
    </row>
    <row r="267" spans="1:10" hidden="1">
      <c r="A267" s="230">
        <v>41537</v>
      </c>
      <c r="B267" s="213"/>
      <c r="C267" s="213"/>
      <c r="D267" s="213"/>
      <c r="E267" s="214"/>
      <c r="F267" s="215">
        <v>1887.3</v>
      </c>
      <c r="G267" s="231">
        <v>5.0999999999999996</v>
      </c>
      <c r="H267" s="214"/>
      <c r="J267" s="41"/>
    </row>
    <row r="268" spans="1:10" hidden="1">
      <c r="A268" s="230">
        <v>41544</v>
      </c>
      <c r="B268" s="213"/>
      <c r="C268" s="213"/>
      <c r="D268" s="213"/>
      <c r="E268" s="214"/>
      <c r="F268" s="215">
        <v>1899.1</v>
      </c>
      <c r="G268" s="231">
        <v>5.53</v>
      </c>
      <c r="H268" s="214"/>
      <c r="J268" s="41"/>
    </row>
    <row r="269" spans="1:10" hidden="1">
      <c r="A269" s="230">
        <v>41551</v>
      </c>
      <c r="B269" s="213"/>
      <c r="C269" s="213"/>
      <c r="D269" s="213"/>
      <c r="E269" s="214"/>
      <c r="F269" s="215">
        <v>1889.95</v>
      </c>
      <c r="G269" s="231">
        <v>4.97</v>
      </c>
      <c r="H269" s="214"/>
      <c r="J269" s="41"/>
    </row>
    <row r="270" spans="1:10" hidden="1">
      <c r="A270" s="230">
        <v>41558</v>
      </c>
      <c r="B270" s="213"/>
      <c r="C270" s="213"/>
      <c r="D270" s="213"/>
      <c r="E270" s="214"/>
      <c r="F270" s="215">
        <v>1885.84</v>
      </c>
      <c r="G270" s="231">
        <v>4.78</v>
      </c>
      <c r="H270" s="214"/>
      <c r="J270" s="41"/>
    </row>
    <row r="271" spans="1:10" hidden="1">
      <c r="A271" s="230">
        <v>41565</v>
      </c>
      <c r="B271" s="213"/>
      <c r="C271" s="213"/>
      <c r="D271" s="213"/>
      <c r="E271" s="214"/>
      <c r="F271" s="215">
        <v>1879.48</v>
      </c>
      <c r="G271" s="231">
        <v>4.5</v>
      </c>
      <c r="H271" s="214"/>
      <c r="J271" s="41"/>
    </row>
    <row r="272" spans="1:10" hidden="1">
      <c r="A272" s="230">
        <v>41572</v>
      </c>
      <c r="B272" s="213"/>
      <c r="C272" s="213"/>
      <c r="D272" s="213"/>
      <c r="E272" s="214"/>
      <c r="F272" s="215">
        <v>1882.11</v>
      </c>
      <c r="G272" s="231">
        <v>3.57</v>
      </c>
      <c r="H272" s="214"/>
      <c r="J272" s="41"/>
    </row>
    <row r="273" spans="1:10" hidden="1">
      <c r="A273" s="230">
        <v>41579</v>
      </c>
      <c r="B273" s="213"/>
      <c r="C273" s="213"/>
      <c r="D273" s="213"/>
      <c r="E273" s="214"/>
      <c r="F273" s="215">
        <v>1889.16</v>
      </c>
      <c r="G273" s="231">
        <v>3.16</v>
      </c>
      <c r="H273" s="214"/>
      <c r="J273" s="41"/>
    </row>
    <row r="274" spans="1:10" hidden="1">
      <c r="A274" s="230">
        <v>41586</v>
      </c>
      <c r="B274" s="213"/>
      <c r="C274" s="213"/>
      <c r="D274" s="213"/>
      <c r="E274" s="214"/>
      <c r="F274" s="215">
        <v>1924.87</v>
      </c>
      <c r="G274" s="231">
        <v>6.06</v>
      </c>
      <c r="H274" s="214"/>
      <c r="J274" s="41"/>
    </row>
    <row r="275" spans="1:10" hidden="1">
      <c r="A275" s="230">
        <v>41593</v>
      </c>
      <c r="B275" s="213"/>
      <c r="C275" s="213"/>
      <c r="D275" s="213"/>
      <c r="E275" s="214"/>
      <c r="F275" s="215">
        <v>1929.24</v>
      </c>
      <c r="G275" s="231">
        <v>6.11</v>
      </c>
      <c r="H275" s="214"/>
      <c r="J275" s="41"/>
    </row>
    <row r="276" spans="1:10" hidden="1">
      <c r="A276" s="230">
        <v>41600</v>
      </c>
      <c r="B276" s="213"/>
      <c r="C276" s="213"/>
      <c r="D276" s="213"/>
      <c r="E276" s="214"/>
      <c r="F276" s="215">
        <v>1932.42</v>
      </c>
      <c r="G276" s="231">
        <v>6.42</v>
      </c>
      <c r="H276" s="214"/>
      <c r="J276" s="41"/>
    </row>
    <row r="277" spans="1:10" hidden="1">
      <c r="A277" s="230">
        <v>41607</v>
      </c>
      <c r="B277" s="213"/>
      <c r="C277" s="213"/>
      <c r="D277" s="213"/>
      <c r="E277" s="214"/>
      <c r="F277" s="215">
        <v>1928.25</v>
      </c>
      <c r="G277" s="231">
        <v>5.65</v>
      </c>
      <c r="H277" s="214"/>
      <c r="J277" s="41"/>
    </row>
    <row r="278" spans="1:10" hidden="1">
      <c r="A278" s="230">
        <v>41614</v>
      </c>
      <c r="B278" s="213"/>
      <c r="C278" s="213"/>
      <c r="D278" s="213"/>
      <c r="E278" s="214"/>
      <c r="F278" s="215">
        <v>1940.26</v>
      </c>
      <c r="G278" s="231">
        <v>7.1319999999999997</v>
      </c>
      <c r="H278" s="214"/>
      <c r="J278" s="41"/>
    </row>
    <row r="279" spans="1:10" hidden="1">
      <c r="A279" s="230">
        <v>41621</v>
      </c>
      <c r="B279" s="213"/>
      <c r="C279" s="213"/>
      <c r="D279" s="213"/>
      <c r="E279" s="214"/>
      <c r="F279" s="215">
        <v>1935.89</v>
      </c>
      <c r="G279" s="231">
        <v>7.77</v>
      </c>
      <c r="H279" s="214"/>
      <c r="J279" s="41"/>
    </row>
    <row r="280" spans="1:10" hidden="1">
      <c r="A280" s="230">
        <v>41628</v>
      </c>
      <c r="B280" s="213"/>
      <c r="C280" s="213"/>
      <c r="D280" s="213"/>
      <c r="E280" s="214"/>
      <c r="F280" s="215">
        <v>1943.46</v>
      </c>
      <c r="G280" s="231">
        <v>8.5500000000000007</v>
      </c>
      <c r="H280" s="214"/>
      <c r="J280" s="41"/>
    </row>
    <row r="281" spans="1:10" hidden="1">
      <c r="A281" s="230">
        <v>41635</v>
      </c>
      <c r="B281" s="213"/>
      <c r="C281" s="213"/>
      <c r="D281" s="213"/>
      <c r="E281" s="214"/>
      <c r="F281" s="215">
        <v>1921.22</v>
      </c>
      <c r="G281" s="231">
        <v>8.4499999999999993</v>
      </c>
      <c r="H281" s="214"/>
      <c r="J281" s="41"/>
    </row>
    <row r="282" spans="1:10" hidden="1">
      <c r="A282" s="230">
        <v>41642</v>
      </c>
      <c r="B282" s="213"/>
      <c r="C282" s="213"/>
      <c r="D282" s="213"/>
      <c r="E282" s="214"/>
      <c r="F282" s="215">
        <v>1938.89</v>
      </c>
      <c r="G282" s="231">
        <v>10.17</v>
      </c>
      <c r="H282" s="214"/>
      <c r="J282" s="41"/>
    </row>
    <row r="283" spans="1:10" hidden="1">
      <c r="A283" s="230">
        <v>41649</v>
      </c>
      <c r="B283" s="213"/>
      <c r="C283" s="213"/>
      <c r="D283" s="213"/>
      <c r="E283" s="214"/>
      <c r="F283" s="215">
        <v>1934.88</v>
      </c>
      <c r="G283" s="231">
        <v>9.4413900766985748</v>
      </c>
      <c r="H283" s="214"/>
      <c r="J283" s="41"/>
    </row>
    <row r="284" spans="1:10" hidden="1">
      <c r="A284" s="230">
        <v>41656</v>
      </c>
      <c r="B284" s="213"/>
      <c r="C284" s="213"/>
      <c r="D284" s="213"/>
      <c r="E284" s="214"/>
      <c r="F284" s="215">
        <v>1947.15</v>
      </c>
      <c r="G284" s="231">
        <v>9.69</v>
      </c>
      <c r="H284" s="214"/>
      <c r="J284" s="41"/>
    </row>
    <row r="285" spans="1:10" hidden="1">
      <c r="A285" s="230">
        <v>41663</v>
      </c>
      <c r="B285" s="213"/>
      <c r="C285" s="213"/>
      <c r="D285" s="213"/>
      <c r="E285" s="214"/>
      <c r="F285" s="215">
        <v>1993.23</v>
      </c>
      <c r="G285" s="231">
        <v>12.06</v>
      </c>
      <c r="H285" s="214"/>
      <c r="J285" s="41"/>
    </row>
    <row r="286" spans="1:10" hidden="1">
      <c r="A286" s="230">
        <v>41670</v>
      </c>
      <c r="B286" s="213"/>
      <c r="C286" s="213"/>
      <c r="D286" s="213"/>
      <c r="E286" s="214"/>
      <c r="F286" s="215">
        <v>2008.26</v>
      </c>
      <c r="G286" s="231">
        <v>13.25</v>
      </c>
      <c r="H286" s="214"/>
      <c r="J286" s="41"/>
    </row>
    <row r="287" spans="1:10" hidden="1">
      <c r="A287" s="230">
        <v>41677</v>
      </c>
      <c r="B287" s="213"/>
      <c r="C287" s="213"/>
      <c r="D287" s="213"/>
      <c r="E287" s="214"/>
      <c r="F287" s="215">
        <v>2049.52</v>
      </c>
      <c r="G287" s="231">
        <v>14.42</v>
      </c>
      <c r="H287" s="214"/>
      <c r="J287" s="41"/>
    </row>
    <row r="288" spans="1:10" hidden="1">
      <c r="A288" s="230">
        <v>41684</v>
      </c>
      <c r="B288" s="213"/>
      <c r="C288" s="213"/>
      <c r="D288" s="213"/>
      <c r="E288" s="214"/>
      <c r="F288" s="215">
        <v>2032.99</v>
      </c>
      <c r="G288" s="231">
        <v>14.36</v>
      </c>
      <c r="H288" s="214"/>
      <c r="J288" s="41"/>
    </row>
    <row r="289" spans="1:10" hidden="1">
      <c r="A289" s="230">
        <v>41691</v>
      </c>
      <c r="B289" s="213"/>
      <c r="C289" s="213"/>
      <c r="D289" s="213"/>
      <c r="E289" s="214"/>
      <c r="F289" s="215">
        <v>2052.46</v>
      </c>
      <c r="G289" s="231">
        <v>14.58</v>
      </c>
      <c r="H289" s="214"/>
      <c r="J289" s="41"/>
    </row>
    <row r="290" spans="1:10" hidden="1">
      <c r="A290" s="230">
        <v>41698</v>
      </c>
      <c r="B290" s="213"/>
      <c r="C290" s="213"/>
      <c r="D290" s="213"/>
      <c r="E290" s="214"/>
      <c r="F290" s="215">
        <v>2054.9</v>
      </c>
      <c r="G290" s="231">
        <v>13.13</v>
      </c>
      <c r="H290" s="214"/>
      <c r="J290" s="41"/>
    </row>
    <row r="291" spans="1:10" hidden="1">
      <c r="A291" s="230">
        <v>41705</v>
      </c>
      <c r="B291" s="213"/>
      <c r="C291" s="213"/>
      <c r="D291" s="213"/>
      <c r="E291" s="214"/>
      <c r="F291" s="215">
        <v>2030.02</v>
      </c>
      <c r="G291" s="231">
        <v>12.28</v>
      </c>
      <c r="H291" s="214"/>
      <c r="J291" s="41"/>
    </row>
    <row r="292" spans="1:10" hidden="1">
      <c r="A292" s="230">
        <v>41712</v>
      </c>
      <c r="B292" s="213"/>
      <c r="C292" s="213"/>
      <c r="D292" s="213"/>
      <c r="E292" s="214"/>
      <c r="F292" s="215">
        <v>2044.48</v>
      </c>
      <c r="G292" s="231">
        <v>13.67</v>
      </c>
      <c r="H292" s="214"/>
      <c r="J292" s="41"/>
    </row>
    <row r="293" spans="1:10" hidden="1">
      <c r="A293" s="230">
        <v>41719</v>
      </c>
      <c r="B293" s="213"/>
      <c r="C293" s="213"/>
      <c r="D293" s="213"/>
      <c r="E293" s="214"/>
      <c r="F293" s="215">
        <v>1998.6</v>
      </c>
      <c r="G293" s="231">
        <v>10.28</v>
      </c>
      <c r="H293" s="214"/>
      <c r="J293" s="41"/>
    </row>
    <row r="294" spans="1:10" hidden="1">
      <c r="A294" s="230">
        <v>41726</v>
      </c>
      <c r="B294" s="213"/>
      <c r="C294" s="213"/>
      <c r="D294" s="213"/>
      <c r="E294" s="214"/>
      <c r="F294" s="215">
        <v>1965.64</v>
      </c>
      <c r="G294" s="231">
        <v>7.28</v>
      </c>
      <c r="H294" s="214"/>
      <c r="J294" s="41"/>
    </row>
    <row r="295" spans="1:10" hidden="1">
      <c r="A295" s="230">
        <v>41733</v>
      </c>
      <c r="B295" s="213"/>
      <c r="C295" s="213"/>
      <c r="D295" s="213"/>
      <c r="E295" s="214"/>
      <c r="F295" s="215">
        <v>1966.4</v>
      </c>
      <c r="G295" s="231">
        <v>8.0500000000000007</v>
      </c>
      <c r="H295" s="214"/>
      <c r="J295" s="41"/>
    </row>
    <row r="296" spans="1:10" hidden="1">
      <c r="A296" s="230">
        <v>41740</v>
      </c>
      <c r="B296" s="213"/>
      <c r="C296" s="213"/>
      <c r="D296" s="213"/>
      <c r="E296" s="214"/>
      <c r="F296" s="215">
        <v>1920.93</v>
      </c>
      <c r="G296" s="231">
        <v>5.48</v>
      </c>
      <c r="H296" s="214"/>
      <c r="J296" s="41"/>
    </row>
    <row r="297" spans="1:10" hidden="1">
      <c r="A297" s="230">
        <v>41747</v>
      </c>
      <c r="B297" s="213"/>
      <c r="C297" s="213"/>
      <c r="D297" s="213"/>
      <c r="E297" s="214"/>
      <c r="F297" s="215">
        <v>1930.62</v>
      </c>
      <c r="G297" s="231">
        <v>4.5599999999999996</v>
      </c>
      <c r="H297" s="214"/>
      <c r="J297" s="41"/>
    </row>
    <row r="298" spans="1:10" hidden="1">
      <c r="A298" s="230">
        <v>41754</v>
      </c>
      <c r="B298" s="213"/>
      <c r="C298" s="213"/>
      <c r="D298" s="213"/>
      <c r="E298" s="214"/>
      <c r="F298" s="215">
        <v>1936.07</v>
      </c>
      <c r="G298" s="231">
        <v>5.41</v>
      </c>
      <c r="H298" s="214"/>
      <c r="J298" s="41"/>
    </row>
    <row r="299" spans="1:10" hidden="1">
      <c r="A299" s="230">
        <v>41761</v>
      </c>
      <c r="B299" s="213"/>
      <c r="C299" s="213"/>
      <c r="D299" s="213"/>
      <c r="E299" s="214"/>
      <c r="F299" s="215">
        <v>1933.46</v>
      </c>
      <c r="G299" s="231">
        <v>5.89</v>
      </c>
      <c r="H299" s="214"/>
      <c r="J299" s="41"/>
    </row>
    <row r="300" spans="1:10" hidden="1">
      <c r="A300" s="230">
        <v>41768</v>
      </c>
      <c r="B300" s="213"/>
      <c r="C300" s="213"/>
      <c r="D300" s="213"/>
      <c r="E300" s="214"/>
      <c r="F300" s="215">
        <v>1902.15</v>
      </c>
      <c r="G300" s="231">
        <v>3.9</v>
      </c>
      <c r="H300" s="214"/>
      <c r="J300" s="41"/>
    </row>
    <row r="301" spans="1:10" hidden="1">
      <c r="A301" s="230">
        <v>41775</v>
      </c>
      <c r="B301" s="213"/>
      <c r="C301" s="213"/>
      <c r="D301" s="213"/>
      <c r="E301" s="214"/>
      <c r="F301" s="215">
        <v>1927.8</v>
      </c>
      <c r="G301" s="231">
        <v>4.5599999999999996</v>
      </c>
      <c r="H301" s="214"/>
      <c r="J301" s="41"/>
    </row>
    <row r="302" spans="1:10" hidden="1">
      <c r="A302" s="230">
        <v>41782</v>
      </c>
      <c r="B302" s="213"/>
      <c r="C302" s="213"/>
      <c r="D302" s="213"/>
      <c r="E302" s="214"/>
      <c r="F302" s="215">
        <v>1905.8</v>
      </c>
      <c r="G302" s="231">
        <v>2.99</v>
      </c>
      <c r="H302" s="214"/>
      <c r="J302" s="41"/>
    </row>
    <row r="303" spans="1:10" hidden="1">
      <c r="A303" s="230">
        <v>41789</v>
      </c>
      <c r="B303" s="213"/>
      <c r="C303" s="213"/>
      <c r="D303" s="213"/>
      <c r="E303" s="214"/>
      <c r="F303" s="215">
        <v>1905.96</v>
      </c>
      <c r="G303" s="231">
        <v>0.62</v>
      </c>
      <c r="H303" s="214"/>
      <c r="J303" s="41"/>
    </row>
    <row r="304" spans="1:10" hidden="1">
      <c r="A304" s="230">
        <v>41796</v>
      </c>
      <c r="B304" s="213"/>
      <c r="C304" s="213"/>
      <c r="D304" s="213"/>
      <c r="E304" s="214"/>
      <c r="F304" s="215">
        <v>1892.08</v>
      </c>
      <c r="G304" s="231">
        <v>-0.37</v>
      </c>
      <c r="H304" s="214"/>
      <c r="J304" s="41"/>
    </row>
    <row r="305" spans="1:10" hidden="1">
      <c r="A305" s="230">
        <v>41803</v>
      </c>
      <c r="B305" s="213"/>
      <c r="C305" s="213"/>
      <c r="D305" s="213"/>
      <c r="E305" s="214"/>
      <c r="F305" s="215">
        <v>1877.18</v>
      </c>
      <c r="G305" s="231">
        <v>-1.07</v>
      </c>
      <c r="H305" s="214"/>
      <c r="J305" s="41"/>
    </row>
    <row r="306" spans="1:10" hidden="1">
      <c r="A306" s="230">
        <v>41810</v>
      </c>
      <c r="B306" s="213"/>
      <c r="C306" s="213"/>
      <c r="D306" s="213"/>
      <c r="E306" s="214"/>
      <c r="F306" s="215">
        <v>1881.34</v>
      </c>
      <c r="G306" s="231">
        <v>-1.03</v>
      </c>
      <c r="H306" s="214"/>
      <c r="J306" s="41"/>
    </row>
    <row r="307" spans="1:10" hidden="1">
      <c r="A307" s="230">
        <v>41817</v>
      </c>
      <c r="B307" s="213"/>
      <c r="C307" s="213"/>
      <c r="D307" s="213"/>
      <c r="E307" s="214"/>
      <c r="F307" s="215">
        <v>1886.01</v>
      </c>
      <c r="G307" s="231">
        <v>-1.87</v>
      </c>
      <c r="H307" s="214"/>
      <c r="J307" s="41"/>
    </row>
    <row r="308" spans="1:10" hidden="1">
      <c r="A308" s="230">
        <v>41824</v>
      </c>
      <c r="B308" s="213"/>
      <c r="C308" s="213"/>
      <c r="D308" s="213"/>
      <c r="E308" s="214"/>
      <c r="F308" s="215">
        <v>1848.91</v>
      </c>
      <c r="G308" s="231">
        <v>-3.47</v>
      </c>
      <c r="H308" s="214"/>
      <c r="J308" s="41"/>
    </row>
    <row r="309" spans="1:10" hidden="1">
      <c r="A309" s="230">
        <v>41831</v>
      </c>
      <c r="B309" s="213"/>
      <c r="C309" s="213"/>
      <c r="D309" s="213"/>
      <c r="E309" s="214"/>
      <c r="F309" s="215">
        <v>1858.47</v>
      </c>
      <c r="G309" s="231">
        <v>-3.22</v>
      </c>
      <c r="H309" s="214"/>
      <c r="J309" s="41"/>
    </row>
    <row r="310" spans="1:10" hidden="1">
      <c r="A310" s="230">
        <v>41838</v>
      </c>
      <c r="B310" s="213"/>
      <c r="C310" s="213"/>
      <c r="D310" s="213"/>
      <c r="E310" s="214"/>
      <c r="F310" s="215">
        <v>1872.27</v>
      </c>
      <c r="G310" s="231">
        <v>-0.05</v>
      </c>
      <c r="H310" s="214"/>
      <c r="J310" s="41"/>
    </row>
    <row r="311" spans="1:10" hidden="1">
      <c r="A311" s="232">
        <v>41845</v>
      </c>
      <c r="B311" s="213"/>
      <c r="C311" s="213"/>
      <c r="D311" s="213"/>
      <c r="E311" s="214"/>
      <c r="F311" s="215">
        <v>1846.12</v>
      </c>
      <c r="G311" s="231">
        <v>-2.37</v>
      </c>
      <c r="H311" s="214"/>
      <c r="J311" s="41"/>
    </row>
    <row r="312" spans="1:10" hidden="1">
      <c r="A312" s="230">
        <v>41852</v>
      </c>
      <c r="B312" s="213"/>
      <c r="C312" s="213"/>
      <c r="D312" s="213"/>
      <c r="E312" s="214"/>
      <c r="F312" s="215">
        <v>1878.75</v>
      </c>
      <c r="G312" s="231">
        <v>-0.92</v>
      </c>
      <c r="H312" s="214"/>
      <c r="J312" s="41"/>
    </row>
    <row r="313" spans="1:10" hidden="1">
      <c r="A313" s="230">
        <v>41859</v>
      </c>
      <c r="B313" s="213"/>
      <c r="C313" s="213"/>
      <c r="D313" s="213"/>
      <c r="E313" s="214"/>
      <c r="F313" s="215">
        <v>1888.51</v>
      </c>
      <c r="G313" s="231">
        <v>0.35</v>
      </c>
      <c r="H313" s="214"/>
      <c r="J313" s="41"/>
    </row>
    <row r="314" spans="1:10" hidden="1">
      <c r="A314" s="230">
        <v>41866</v>
      </c>
      <c r="B314" s="213"/>
      <c r="C314" s="213"/>
      <c r="D314" s="213"/>
      <c r="E314" s="214"/>
      <c r="F314" s="215">
        <v>1877.77</v>
      </c>
      <c r="G314" s="231">
        <v>-0.28999999999999998</v>
      </c>
      <c r="H314" s="214"/>
      <c r="J314" s="41"/>
    </row>
    <row r="315" spans="1:10" hidden="1">
      <c r="A315" s="230">
        <v>41873</v>
      </c>
      <c r="B315" s="213"/>
      <c r="C315" s="213"/>
      <c r="D315" s="213"/>
      <c r="E315" s="214"/>
      <c r="F315" s="215">
        <v>1919.84</v>
      </c>
      <c r="G315" s="231">
        <v>-0.51</v>
      </c>
      <c r="H315" s="214"/>
      <c r="J315" s="41"/>
    </row>
    <row r="316" spans="1:10" hidden="1">
      <c r="A316" s="230">
        <v>41880</v>
      </c>
      <c r="B316" s="213"/>
      <c r="C316" s="213"/>
      <c r="D316" s="213"/>
      <c r="E316" s="214"/>
      <c r="F316" s="215">
        <v>1935.04</v>
      </c>
      <c r="G316" s="231">
        <v>-0.25</v>
      </c>
      <c r="H316" s="214"/>
      <c r="J316" s="41"/>
    </row>
    <row r="317" spans="1:10" hidden="1">
      <c r="A317" s="230">
        <v>41887</v>
      </c>
      <c r="B317" s="213"/>
      <c r="C317" s="213"/>
      <c r="D317" s="213"/>
      <c r="E317" s="214"/>
      <c r="F317" s="215">
        <v>1931.45</v>
      </c>
      <c r="G317" s="231">
        <v>-0.39</v>
      </c>
      <c r="H317" s="214"/>
      <c r="J317" s="41"/>
    </row>
    <row r="318" spans="1:10" hidden="1">
      <c r="A318" s="230">
        <v>41894</v>
      </c>
      <c r="B318" s="213"/>
      <c r="C318" s="213"/>
      <c r="D318" s="213"/>
      <c r="E318" s="214"/>
      <c r="F318" s="215">
        <v>1979.97</v>
      </c>
      <c r="G318" s="231">
        <v>2.93</v>
      </c>
      <c r="H318" s="214"/>
      <c r="J318" s="41"/>
    </row>
    <row r="319" spans="1:10" hidden="1">
      <c r="A319" s="230">
        <v>41901</v>
      </c>
      <c r="B319" s="213"/>
      <c r="C319" s="213"/>
      <c r="D319" s="213"/>
      <c r="E319" s="214"/>
      <c r="F319" s="215">
        <v>1975.42</v>
      </c>
      <c r="G319" s="231">
        <v>3.35</v>
      </c>
      <c r="H319" s="214"/>
      <c r="J319" s="41"/>
    </row>
    <row r="320" spans="1:10" hidden="1">
      <c r="A320" s="230">
        <v>41908</v>
      </c>
      <c r="B320" s="213"/>
      <c r="C320" s="213"/>
      <c r="D320" s="213"/>
      <c r="E320" s="214"/>
      <c r="F320" s="215">
        <v>2019.76</v>
      </c>
      <c r="G320" s="231">
        <v>6.67</v>
      </c>
      <c r="H320" s="214"/>
      <c r="J320" s="41"/>
    </row>
    <row r="321" spans="1:10" hidden="1">
      <c r="A321" s="230">
        <v>41915</v>
      </c>
      <c r="B321" s="213"/>
      <c r="C321" s="213"/>
      <c r="D321" s="213"/>
      <c r="E321" s="214"/>
      <c r="F321" s="215">
        <v>2021.49</v>
      </c>
      <c r="G321" s="231">
        <v>7.24</v>
      </c>
      <c r="H321" s="214"/>
      <c r="J321" s="41"/>
    </row>
    <row r="322" spans="1:10" hidden="1">
      <c r="A322" s="230">
        <v>41922</v>
      </c>
      <c r="B322" s="213"/>
      <c r="C322" s="213"/>
      <c r="D322" s="213"/>
      <c r="E322" s="214"/>
      <c r="F322" s="215">
        <v>2041.71</v>
      </c>
      <c r="G322" s="231">
        <v>7.8</v>
      </c>
      <c r="H322" s="214"/>
      <c r="J322" s="41"/>
    </row>
    <row r="323" spans="1:10" hidden="1">
      <c r="A323" s="230">
        <v>41929</v>
      </c>
      <c r="B323" s="213"/>
      <c r="C323" s="213"/>
      <c r="D323" s="213"/>
      <c r="E323" s="214"/>
      <c r="F323" s="215">
        <v>2074.4</v>
      </c>
      <c r="G323" s="231">
        <v>10.29</v>
      </c>
      <c r="H323" s="214"/>
      <c r="J323" s="41"/>
    </row>
    <row r="324" spans="1:10" hidden="1">
      <c r="A324" s="230">
        <v>41936</v>
      </c>
      <c r="B324" s="213"/>
      <c r="C324" s="213"/>
      <c r="D324" s="213"/>
      <c r="E324" s="214"/>
      <c r="F324" s="215">
        <v>2053.39</v>
      </c>
      <c r="G324" s="231">
        <v>9.0399999999999991</v>
      </c>
      <c r="H324" s="214"/>
      <c r="J324" s="41"/>
    </row>
    <row r="325" spans="1:10" hidden="1">
      <c r="A325" s="230">
        <v>41943</v>
      </c>
      <c r="B325" s="213"/>
      <c r="C325" s="213"/>
      <c r="D325" s="213"/>
      <c r="E325" s="214"/>
      <c r="F325" s="215">
        <v>2050.52</v>
      </c>
      <c r="G325" s="231">
        <v>8.84</v>
      </c>
      <c r="H325" s="214"/>
      <c r="J325" s="41"/>
    </row>
    <row r="326" spans="1:10" hidden="1">
      <c r="A326" s="230">
        <v>41950</v>
      </c>
      <c r="B326" s="213"/>
      <c r="C326" s="213"/>
      <c r="D326" s="213"/>
      <c r="E326" s="214"/>
      <c r="F326" s="215">
        <v>2086.86</v>
      </c>
      <c r="G326" s="231">
        <v>8.8699999999999992</v>
      </c>
      <c r="H326" s="214"/>
      <c r="J326" s="41"/>
    </row>
    <row r="327" spans="1:10" hidden="1">
      <c r="A327" s="230">
        <v>41957</v>
      </c>
      <c r="B327" s="213"/>
      <c r="C327" s="213"/>
      <c r="D327" s="213"/>
      <c r="E327" s="214"/>
      <c r="F327" s="215">
        <v>2133.0300000000002</v>
      </c>
      <c r="G327" s="231">
        <v>10.4</v>
      </c>
      <c r="H327" s="214"/>
      <c r="J327" s="41"/>
    </row>
    <row r="328" spans="1:10" hidden="1">
      <c r="A328" s="230">
        <v>41964</v>
      </c>
      <c r="B328" s="213"/>
      <c r="C328" s="213"/>
      <c r="D328" s="213"/>
      <c r="E328" s="214"/>
      <c r="F328" s="215">
        <v>2156.9299999999998</v>
      </c>
      <c r="G328" s="231">
        <v>12.15</v>
      </c>
      <c r="H328" s="214"/>
      <c r="J328" s="41"/>
    </row>
    <row r="329" spans="1:10" hidden="1">
      <c r="A329" s="230">
        <v>41971</v>
      </c>
      <c r="B329" s="213"/>
      <c r="C329" s="213"/>
      <c r="D329" s="213"/>
      <c r="E329" s="214"/>
      <c r="F329" s="215">
        <v>2165.15</v>
      </c>
      <c r="G329" s="231">
        <v>12.29</v>
      </c>
      <c r="H329" s="214"/>
      <c r="J329" s="41"/>
    </row>
    <row r="330" spans="1:10" hidden="1">
      <c r="A330" s="230">
        <v>41978</v>
      </c>
      <c r="B330" s="213"/>
      <c r="C330" s="213"/>
      <c r="D330" s="213"/>
      <c r="E330" s="214"/>
      <c r="F330" s="215">
        <v>2284.2399999999998</v>
      </c>
      <c r="G330" s="231">
        <v>17.23</v>
      </c>
      <c r="H330" s="214"/>
      <c r="J330" s="41"/>
    </row>
    <row r="331" spans="1:10" hidden="1">
      <c r="A331" s="230">
        <v>41985</v>
      </c>
      <c r="B331" s="213"/>
      <c r="C331" s="213"/>
      <c r="D331" s="213"/>
      <c r="E331" s="214"/>
      <c r="F331" s="215">
        <v>2423.56</v>
      </c>
      <c r="G331" s="231">
        <v>25.21</v>
      </c>
      <c r="H331" s="214"/>
      <c r="J331" s="41"/>
    </row>
    <row r="332" spans="1:10" hidden="1">
      <c r="A332" s="230">
        <v>41992</v>
      </c>
      <c r="B332" s="213"/>
      <c r="C332" s="213"/>
      <c r="D332" s="213"/>
      <c r="E332" s="214"/>
      <c r="F332" s="215">
        <v>2334.98</v>
      </c>
      <c r="G332" s="231">
        <v>20.010000000000002</v>
      </c>
      <c r="H332" s="214"/>
      <c r="J332" s="41"/>
    </row>
    <row r="333" spans="1:10" hidden="1">
      <c r="A333" s="230">
        <v>41999</v>
      </c>
      <c r="B333" s="213"/>
      <c r="C333" s="213"/>
      <c r="D333" s="213"/>
      <c r="E333" s="214"/>
      <c r="F333" s="215">
        <v>2346.9</v>
      </c>
      <c r="G333" s="231">
        <v>22.06</v>
      </c>
      <c r="H333" s="214"/>
      <c r="J333" s="41"/>
    </row>
    <row r="334" spans="1:10" hidden="1">
      <c r="A334" s="230">
        <v>42006</v>
      </c>
      <c r="B334" s="213"/>
      <c r="C334" s="213"/>
      <c r="D334" s="213"/>
      <c r="E334" s="214"/>
      <c r="F334" s="215">
        <v>2392.46</v>
      </c>
      <c r="G334" s="231">
        <v>24.17</v>
      </c>
      <c r="H334" s="214"/>
      <c r="J334" s="41"/>
    </row>
    <row r="335" spans="1:10" hidden="1">
      <c r="A335" s="230">
        <v>42013</v>
      </c>
      <c r="B335" s="213"/>
      <c r="C335" s="213"/>
      <c r="D335" s="213"/>
      <c r="E335" s="214"/>
      <c r="F335" s="215">
        <v>2405.0300000000002</v>
      </c>
      <c r="G335" s="231">
        <v>24.4</v>
      </c>
      <c r="H335" s="214"/>
      <c r="J335" s="41"/>
    </row>
    <row r="336" spans="1:10" hidden="1">
      <c r="A336" s="230">
        <v>42020</v>
      </c>
      <c r="B336" s="213"/>
      <c r="C336" s="213"/>
      <c r="D336" s="213"/>
      <c r="E336" s="214"/>
      <c r="F336" s="215">
        <v>2398.91</v>
      </c>
      <c r="G336" s="231">
        <v>23.56</v>
      </c>
      <c r="H336" s="214"/>
      <c r="J336" s="41"/>
    </row>
    <row r="337" spans="1:10" hidden="1">
      <c r="A337" s="230">
        <v>42027</v>
      </c>
      <c r="B337" s="213"/>
      <c r="C337" s="213"/>
      <c r="D337" s="213"/>
      <c r="E337" s="214"/>
      <c r="F337" s="215">
        <v>2370.75</v>
      </c>
      <c r="G337" s="231">
        <v>19.52</v>
      </c>
      <c r="H337" s="214"/>
      <c r="J337" s="41"/>
    </row>
    <row r="338" spans="1:10" hidden="1">
      <c r="A338" s="230">
        <v>42034</v>
      </c>
      <c r="B338" s="213"/>
      <c r="C338" s="213"/>
      <c r="D338" s="213"/>
      <c r="E338" s="214"/>
      <c r="F338" s="215">
        <v>2397.35</v>
      </c>
      <c r="G338" s="231">
        <v>19.079999999999998</v>
      </c>
      <c r="H338" s="214"/>
      <c r="J338" s="41"/>
    </row>
    <row r="339" spans="1:10" hidden="1">
      <c r="A339" s="230">
        <v>42041</v>
      </c>
      <c r="B339" s="213"/>
      <c r="C339" s="213"/>
      <c r="D339" s="213"/>
      <c r="E339" s="214"/>
      <c r="F339" s="215">
        <v>2384.5300000000002</v>
      </c>
      <c r="G339" s="231">
        <v>16.39</v>
      </c>
      <c r="H339" s="214"/>
      <c r="J339" s="41"/>
    </row>
    <row r="340" spans="1:10" hidden="1">
      <c r="A340" s="230">
        <v>42048</v>
      </c>
      <c r="B340" s="213"/>
      <c r="C340" s="213"/>
      <c r="D340" s="213"/>
      <c r="E340" s="214"/>
      <c r="F340" s="215">
        <v>2401.0300000000002</v>
      </c>
      <c r="G340" s="231">
        <v>18.18</v>
      </c>
      <c r="H340" s="214"/>
      <c r="J340" s="41"/>
    </row>
    <row r="341" spans="1:10" hidden="1">
      <c r="A341" s="230">
        <v>42055</v>
      </c>
      <c r="B341" s="213"/>
      <c r="C341" s="213"/>
      <c r="D341" s="213"/>
      <c r="E341" s="214"/>
      <c r="F341" s="215">
        <v>2445.16</v>
      </c>
      <c r="G341" s="231">
        <v>19.73</v>
      </c>
      <c r="H341" s="214"/>
      <c r="J341" s="41"/>
    </row>
    <row r="342" spans="1:10" hidden="1">
      <c r="A342" s="230">
        <v>42062</v>
      </c>
      <c r="B342" s="213"/>
      <c r="C342" s="213"/>
      <c r="D342" s="213"/>
      <c r="E342" s="214"/>
      <c r="F342" s="215">
        <v>2484.58</v>
      </c>
      <c r="G342" s="231">
        <v>21.02</v>
      </c>
      <c r="H342" s="214"/>
      <c r="J342" s="41"/>
    </row>
    <row r="343" spans="1:10" hidden="1">
      <c r="A343" s="230">
        <v>42069</v>
      </c>
      <c r="B343" s="213"/>
      <c r="C343" s="213"/>
      <c r="D343" s="213"/>
      <c r="E343" s="214"/>
      <c r="F343" s="215">
        <v>2543.4699999999998</v>
      </c>
      <c r="G343" s="231">
        <v>24.37</v>
      </c>
      <c r="H343" s="214"/>
      <c r="J343" s="41"/>
    </row>
    <row r="344" spans="1:10" hidden="1">
      <c r="A344" s="230">
        <v>42076</v>
      </c>
      <c r="B344" s="213"/>
      <c r="C344" s="213"/>
      <c r="D344" s="213"/>
      <c r="E344" s="214"/>
      <c r="F344" s="215">
        <v>2610.08</v>
      </c>
      <c r="G344" s="231">
        <v>27.47</v>
      </c>
      <c r="H344" s="214"/>
      <c r="J344" s="41"/>
    </row>
    <row r="345" spans="1:10" hidden="1">
      <c r="A345" s="230">
        <v>42083</v>
      </c>
      <c r="B345" s="213"/>
      <c r="C345" s="213"/>
      <c r="D345" s="213"/>
      <c r="E345" s="214"/>
      <c r="F345" s="215">
        <v>2613.38</v>
      </c>
      <c r="G345" s="231">
        <v>29.54</v>
      </c>
      <c r="H345" s="214"/>
      <c r="J345" s="41"/>
    </row>
    <row r="346" spans="1:10" hidden="1">
      <c r="A346" s="230">
        <v>42090</v>
      </c>
      <c r="B346" s="213"/>
      <c r="C346" s="213"/>
      <c r="D346" s="213"/>
      <c r="E346" s="214"/>
      <c r="F346" s="215">
        <v>2551.3000000000002</v>
      </c>
      <c r="G346" s="231">
        <v>29.31</v>
      </c>
      <c r="H346" s="214"/>
      <c r="J346" s="41"/>
    </row>
    <row r="347" spans="1:10" hidden="1">
      <c r="A347" s="230">
        <v>42097</v>
      </c>
      <c r="B347" s="213"/>
      <c r="C347" s="213"/>
      <c r="D347" s="213"/>
      <c r="E347" s="214"/>
      <c r="F347" s="215">
        <v>2576.41</v>
      </c>
      <c r="G347" s="231">
        <v>31.21</v>
      </c>
      <c r="H347" s="214"/>
      <c r="J347" s="41"/>
    </row>
    <row r="348" spans="1:10" hidden="1">
      <c r="A348" s="230">
        <v>42104</v>
      </c>
      <c r="B348" s="213"/>
      <c r="C348" s="213"/>
      <c r="D348" s="213"/>
      <c r="E348" s="214"/>
      <c r="F348" s="215">
        <v>2494.77</v>
      </c>
      <c r="G348" s="231">
        <v>29.19</v>
      </c>
      <c r="H348" s="214"/>
      <c r="J348" s="41"/>
    </row>
    <row r="349" spans="1:10" hidden="1">
      <c r="A349" s="230">
        <v>42111</v>
      </c>
      <c r="B349" s="213"/>
      <c r="C349" s="213"/>
      <c r="D349" s="213"/>
      <c r="E349" s="214"/>
      <c r="F349" s="215">
        <v>2493.9299999999998</v>
      </c>
      <c r="G349" s="231">
        <v>29.18</v>
      </c>
      <c r="H349" s="214"/>
      <c r="J349" s="41"/>
    </row>
    <row r="350" spans="1:10" hidden="1">
      <c r="A350" s="230">
        <v>42118</v>
      </c>
      <c r="B350" s="213"/>
      <c r="C350" s="213"/>
      <c r="D350" s="213"/>
      <c r="E350" s="214"/>
      <c r="F350" s="215">
        <v>2471.21</v>
      </c>
      <c r="G350" s="231">
        <v>27.6</v>
      </c>
      <c r="H350" s="214"/>
      <c r="J350" s="41"/>
    </row>
    <row r="351" spans="1:10" hidden="1">
      <c r="A351" s="230">
        <v>42125</v>
      </c>
      <c r="B351" s="213"/>
      <c r="C351" s="213"/>
      <c r="D351" s="213"/>
      <c r="E351" s="214"/>
      <c r="F351" s="215">
        <v>2393.58</v>
      </c>
      <c r="G351" s="231">
        <v>23.8</v>
      </c>
      <c r="H351" s="214"/>
      <c r="J351" s="41"/>
    </row>
    <row r="352" spans="1:10" hidden="1">
      <c r="A352" s="230">
        <v>42132</v>
      </c>
      <c r="B352" s="213"/>
      <c r="C352" s="213"/>
      <c r="D352" s="213"/>
      <c r="E352" s="214"/>
      <c r="F352" s="215">
        <v>2369.23</v>
      </c>
      <c r="G352" s="231">
        <v>23.85</v>
      </c>
      <c r="H352" s="214"/>
      <c r="J352" s="41"/>
    </row>
    <row r="353" spans="1:10" hidden="1">
      <c r="A353" s="230">
        <v>42139</v>
      </c>
      <c r="B353" s="213"/>
      <c r="C353" s="213"/>
      <c r="D353" s="213"/>
      <c r="E353" s="214"/>
      <c r="F353" s="215">
        <v>2389.4899999999998</v>
      </c>
      <c r="G353" s="231">
        <v>24.11</v>
      </c>
      <c r="H353" s="214"/>
      <c r="J353" s="41"/>
    </row>
    <row r="354" spans="1:10" hidden="1">
      <c r="A354" s="230">
        <v>42146</v>
      </c>
      <c r="B354" s="213"/>
      <c r="C354" s="213"/>
      <c r="D354" s="213"/>
      <c r="E354" s="214"/>
      <c r="F354" s="215">
        <v>2489.39</v>
      </c>
      <c r="G354" s="231">
        <v>30.24</v>
      </c>
      <c r="H354" s="214"/>
      <c r="J354" s="41"/>
    </row>
    <row r="355" spans="1:10" hidden="1">
      <c r="A355" s="230">
        <v>42153</v>
      </c>
      <c r="B355" s="213"/>
      <c r="C355" s="213"/>
      <c r="D355" s="213"/>
      <c r="E355" s="214"/>
      <c r="F355" s="215">
        <v>2549.9699999999998</v>
      </c>
      <c r="G355" s="231">
        <v>33.450000000000003</v>
      </c>
      <c r="H355" s="214"/>
      <c r="J355" s="41"/>
    </row>
    <row r="356" spans="1:10" hidden="1">
      <c r="A356" s="230">
        <v>42160</v>
      </c>
      <c r="B356" s="213"/>
      <c r="C356" s="213"/>
      <c r="D356" s="213"/>
      <c r="E356" s="214"/>
      <c r="F356" s="215">
        <v>2588.56</v>
      </c>
      <c r="G356" s="231">
        <v>36.409999999999997</v>
      </c>
      <c r="H356" s="214"/>
      <c r="J356" s="41"/>
    </row>
    <row r="357" spans="1:10" hidden="1">
      <c r="A357" s="230">
        <v>42167</v>
      </c>
      <c r="B357" s="213"/>
      <c r="C357" s="213"/>
      <c r="D357" s="213"/>
      <c r="E357" s="214"/>
      <c r="F357" s="215">
        <v>2538.5500000000002</v>
      </c>
      <c r="G357" s="231">
        <v>34.700000000000003</v>
      </c>
      <c r="H357" s="214"/>
      <c r="J357" s="41"/>
    </row>
    <row r="358" spans="1:10" hidden="1">
      <c r="A358" s="230">
        <v>42174</v>
      </c>
      <c r="B358" s="213"/>
      <c r="C358" s="213"/>
      <c r="D358" s="213"/>
      <c r="E358" s="214"/>
      <c r="F358" s="215">
        <v>2528.85</v>
      </c>
      <c r="G358" s="231">
        <v>33.380000000000003</v>
      </c>
      <c r="H358" s="214"/>
      <c r="J358" s="41"/>
    </row>
    <row r="359" spans="1:10" hidden="1">
      <c r="A359" s="230">
        <v>42181</v>
      </c>
      <c r="B359" s="213"/>
      <c r="C359" s="213"/>
      <c r="D359" s="213"/>
      <c r="E359" s="214"/>
      <c r="F359" s="215">
        <v>2556.21</v>
      </c>
      <c r="G359" s="231">
        <v>35.94</v>
      </c>
      <c r="H359" s="214"/>
      <c r="J359" s="41"/>
    </row>
    <row r="360" spans="1:10" hidden="1">
      <c r="A360" s="230">
        <v>42188</v>
      </c>
      <c r="B360" s="213"/>
      <c r="C360" s="213"/>
      <c r="D360" s="213"/>
      <c r="E360" s="214"/>
      <c r="F360" s="215">
        <v>2623.91</v>
      </c>
      <c r="G360" s="231">
        <v>41.32</v>
      </c>
      <c r="H360" s="214"/>
      <c r="J360" s="41"/>
    </row>
    <row r="361" spans="1:10" hidden="1">
      <c r="A361" s="230">
        <v>42195</v>
      </c>
      <c r="B361" s="213"/>
      <c r="C361" s="213"/>
      <c r="D361" s="213"/>
      <c r="E361" s="214"/>
      <c r="F361" s="215">
        <v>2670.79</v>
      </c>
      <c r="G361" s="231">
        <v>43.6</v>
      </c>
      <c r="H361" s="214"/>
      <c r="J361" s="41"/>
    </row>
    <row r="362" spans="1:10" hidden="1">
      <c r="A362" s="230">
        <v>42202</v>
      </c>
      <c r="B362" s="213"/>
      <c r="C362" s="213"/>
      <c r="D362" s="213"/>
      <c r="E362" s="214"/>
      <c r="F362" s="215">
        <v>2727.23</v>
      </c>
      <c r="G362" s="231">
        <v>45.97</v>
      </c>
      <c r="H362" s="214"/>
      <c r="J362" s="41"/>
    </row>
    <row r="363" spans="1:10" hidden="1">
      <c r="A363" s="230">
        <v>42209</v>
      </c>
      <c r="B363" s="213"/>
      <c r="C363" s="213"/>
      <c r="D363" s="213"/>
      <c r="E363" s="214"/>
      <c r="F363" s="215">
        <v>2807.36</v>
      </c>
      <c r="G363" s="231">
        <v>51.93</v>
      </c>
      <c r="H363" s="214"/>
      <c r="J363" s="41"/>
    </row>
    <row r="364" spans="1:10" hidden="1">
      <c r="A364" s="230">
        <v>42216</v>
      </c>
      <c r="B364" s="213"/>
      <c r="C364" s="213"/>
      <c r="D364" s="213"/>
      <c r="E364" s="214"/>
      <c r="F364" s="215">
        <v>2866.04</v>
      </c>
      <c r="G364" s="231">
        <v>53.07</v>
      </c>
      <c r="H364" s="214"/>
      <c r="J364" s="41"/>
    </row>
    <row r="365" spans="1:10" hidden="1">
      <c r="A365" s="230">
        <v>42223</v>
      </c>
      <c r="B365" s="213"/>
      <c r="C365" s="213"/>
      <c r="D365" s="213"/>
      <c r="E365" s="214"/>
      <c r="F365" s="215">
        <v>2955.31</v>
      </c>
      <c r="G365" s="231">
        <v>56.49</v>
      </c>
      <c r="H365" s="214"/>
      <c r="J365" s="41"/>
    </row>
    <row r="366" spans="1:10" hidden="1">
      <c r="A366" s="230">
        <v>42230</v>
      </c>
      <c r="B366" s="213"/>
      <c r="C366" s="213"/>
      <c r="D366" s="213"/>
      <c r="E366" s="214"/>
      <c r="F366" s="215">
        <v>2966.12</v>
      </c>
      <c r="G366" s="231">
        <v>57.49</v>
      </c>
      <c r="H366" s="214"/>
      <c r="J366" s="41"/>
    </row>
    <row r="367" spans="1:10" hidden="1">
      <c r="A367" s="230">
        <v>42237</v>
      </c>
      <c r="B367" s="213"/>
      <c r="C367" s="213"/>
      <c r="D367" s="213"/>
      <c r="E367" s="214"/>
      <c r="F367" s="215">
        <v>3053.65</v>
      </c>
      <c r="G367" s="231">
        <v>59.67</v>
      </c>
      <c r="H367" s="214"/>
      <c r="J367" s="41"/>
    </row>
    <row r="368" spans="1:10" hidden="1">
      <c r="A368" s="230">
        <v>42244</v>
      </c>
      <c r="B368" s="213"/>
      <c r="C368" s="213"/>
      <c r="D368" s="213"/>
      <c r="E368" s="214"/>
      <c r="F368" s="215">
        <v>3195.47</v>
      </c>
      <c r="G368" s="231">
        <v>65.83</v>
      </c>
      <c r="H368" s="214"/>
      <c r="J368" s="41"/>
    </row>
    <row r="369" spans="1:10" hidden="1">
      <c r="A369" s="230">
        <v>42251</v>
      </c>
      <c r="B369" s="213"/>
      <c r="C369" s="213"/>
      <c r="D369" s="213"/>
      <c r="E369" s="214"/>
      <c r="F369" s="215">
        <v>3119.93</v>
      </c>
      <c r="G369" s="231">
        <v>62.1</v>
      </c>
      <c r="H369" s="214"/>
      <c r="J369" s="41"/>
    </row>
    <row r="370" spans="1:10" hidden="1">
      <c r="A370" s="230">
        <v>42258</v>
      </c>
      <c r="B370" s="213"/>
      <c r="C370" s="213"/>
      <c r="D370" s="213"/>
      <c r="E370" s="214"/>
      <c r="F370" s="215">
        <v>3080.57</v>
      </c>
      <c r="G370" s="231">
        <v>55.91</v>
      </c>
      <c r="H370" s="214"/>
      <c r="J370" s="41"/>
    </row>
    <row r="371" spans="1:10" hidden="1">
      <c r="A371" s="230">
        <v>42265</v>
      </c>
      <c r="B371" s="213"/>
      <c r="C371" s="213"/>
      <c r="D371" s="213"/>
      <c r="E371" s="214"/>
      <c r="F371" s="215">
        <v>2975.13</v>
      </c>
      <c r="G371" s="231">
        <v>50.6</v>
      </c>
      <c r="H371" s="214"/>
      <c r="J371" s="41"/>
    </row>
    <row r="372" spans="1:10" hidden="1">
      <c r="A372" s="230">
        <v>42272</v>
      </c>
      <c r="B372" s="213"/>
      <c r="C372" s="213"/>
      <c r="D372" s="213"/>
      <c r="E372" s="214"/>
      <c r="F372" s="215">
        <v>3135.17</v>
      </c>
      <c r="G372" s="231">
        <v>56.17</v>
      </c>
      <c r="H372" s="214"/>
      <c r="J372" s="41"/>
    </row>
    <row r="373" spans="1:10" hidden="1">
      <c r="A373" s="230">
        <v>42279</v>
      </c>
      <c r="B373" s="213"/>
      <c r="C373" s="213"/>
      <c r="D373" s="213"/>
      <c r="E373" s="214"/>
      <c r="F373" s="215">
        <v>3061.85</v>
      </c>
      <c r="G373" s="231">
        <v>51.15</v>
      </c>
      <c r="H373" s="214"/>
      <c r="J373" s="41"/>
    </row>
    <row r="374" spans="1:10" hidden="1">
      <c r="A374" s="230">
        <v>42286</v>
      </c>
      <c r="B374" s="213"/>
      <c r="C374" s="213"/>
      <c r="D374" s="213"/>
      <c r="E374" s="214"/>
      <c r="F374" s="215">
        <v>2887.21</v>
      </c>
      <c r="G374" s="231">
        <v>41.51</v>
      </c>
      <c r="H374" s="214"/>
      <c r="J374" s="41"/>
    </row>
    <row r="375" spans="1:10" hidden="1">
      <c r="A375" s="230">
        <v>42293</v>
      </c>
      <c r="B375" s="213"/>
      <c r="C375" s="213"/>
      <c r="D375" s="213"/>
      <c r="E375" s="214"/>
      <c r="F375" s="215">
        <v>2908.87</v>
      </c>
      <c r="G375" s="231">
        <v>41.37</v>
      </c>
      <c r="H375" s="214"/>
      <c r="J375" s="41"/>
    </row>
    <row r="376" spans="1:10" hidden="1">
      <c r="A376" s="230">
        <v>42300</v>
      </c>
      <c r="B376" s="213"/>
      <c r="C376" s="213"/>
      <c r="D376" s="213"/>
      <c r="E376" s="214"/>
      <c r="F376" s="215">
        <v>2925.36</v>
      </c>
      <c r="G376" s="231">
        <v>42.71</v>
      </c>
      <c r="H376" s="214"/>
      <c r="J376" s="41"/>
    </row>
    <row r="377" spans="1:10" hidden="1">
      <c r="A377" s="230">
        <v>42307</v>
      </c>
      <c r="B377" s="213"/>
      <c r="C377" s="213"/>
      <c r="D377" s="213"/>
      <c r="E377" s="214"/>
      <c r="F377" s="215">
        <v>2921.32</v>
      </c>
      <c r="G377" s="231">
        <v>42.88</v>
      </c>
      <c r="H377" s="214"/>
      <c r="J377" s="41"/>
    </row>
    <row r="378" spans="1:10" hidden="1">
      <c r="A378" s="230">
        <v>42314</v>
      </c>
      <c r="B378" s="213"/>
      <c r="C378" s="213"/>
      <c r="D378" s="213"/>
      <c r="E378" s="214"/>
      <c r="F378" s="215">
        <v>2853.32</v>
      </c>
      <c r="G378" s="231">
        <v>37.1</v>
      </c>
      <c r="H378" s="214"/>
      <c r="J378" s="41"/>
    </row>
    <row r="379" spans="1:10" hidden="1">
      <c r="A379" s="230">
        <v>42321</v>
      </c>
      <c r="B379" s="213"/>
      <c r="C379" s="213"/>
      <c r="D379" s="213"/>
      <c r="E379" s="214"/>
      <c r="F379" s="215">
        <v>3009.36</v>
      </c>
      <c r="G379" s="231">
        <v>42.25</v>
      </c>
      <c r="H379" s="214"/>
      <c r="J379" s="41"/>
    </row>
    <row r="380" spans="1:10" hidden="1">
      <c r="A380" s="230">
        <v>42328</v>
      </c>
      <c r="B380" s="213"/>
      <c r="C380" s="213"/>
      <c r="D380" s="213"/>
      <c r="E380" s="214"/>
      <c r="F380" s="215">
        <v>3082.04</v>
      </c>
      <c r="G380" s="231">
        <v>42.9</v>
      </c>
      <c r="H380" s="214"/>
      <c r="J380" s="41"/>
    </row>
    <row r="381" spans="1:10" hidden="1">
      <c r="A381" s="230">
        <v>42335</v>
      </c>
      <c r="B381" s="213"/>
      <c r="C381" s="213"/>
      <c r="D381" s="213"/>
      <c r="E381" s="214"/>
      <c r="F381" s="215">
        <v>3099.75</v>
      </c>
      <c r="G381" s="231">
        <v>43.17</v>
      </c>
      <c r="H381" s="214"/>
      <c r="J381" s="41"/>
    </row>
    <row r="382" spans="1:10" hidden="1">
      <c r="A382" s="230">
        <v>42342</v>
      </c>
      <c r="B382" s="213"/>
      <c r="C382" s="213"/>
      <c r="D382" s="213"/>
      <c r="E382" s="214"/>
      <c r="F382" s="215">
        <v>3149.12</v>
      </c>
      <c r="G382" s="231">
        <v>37.75</v>
      </c>
      <c r="H382" s="214"/>
      <c r="J382" s="41"/>
    </row>
    <row r="383" spans="1:10" hidden="1">
      <c r="A383" s="230">
        <v>42349</v>
      </c>
      <c r="B383" s="213"/>
      <c r="C383" s="213"/>
      <c r="D383" s="213"/>
      <c r="E383" s="214"/>
      <c r="F383" s="215">
        <v>3259.56</v>
      </c>
      <c r="G383" s="231">
        <v>36.840000000000003</v>
      </c>
      <c r="H383" s="214"/>
      <c r="J383" s="41"/>
    </row>
    <row r="384" spans="1:10" hidden="1">
      <c r="A384" s="230">
        <v>42356</v>
      </c>
      <c r="B384" s="213"/>
      <c r="C384" s="213"/>
      <c r="D384" s="213"/>
      <c r="E384" s="214"/>
      <c r="F384" s="215">
        <v>3333.37</v>
      </c>
      <c r="G384" s="231">
        <v>38.15</v>
      </c>
      <c r="H384" s="214"/>
      <c r="J384" s="41"/>
    </row>
    <row r="385" spans="1:10" hidden="1">
      <c r="A385" s="230">
        <v>42363</v>
      </c>
      <c r="B385" s="213"/>
      <c r="C385" s="213"/>
      <c r="D385" s="213"/>
      <c r="E385" s="214"/>
      <c r="F385" s="215">
        <v>3172.03</v>
      </c>
      <c r="G385" s="231">
        <v>35.159999999999997</v>
      </c>
      <c r="H385" s="214"/>
      <c r="J385" s="41"/>
    </row>
    <row r="386" spans="1:10" hidden="1">
      <c r="A386" s="230">
        <v>42370</v>
      </c>
      <c r="B386" s="213"/>
      <c r="C386" s="213"/>
      <c r="D386" s="213"/>
      <c r="E386" s="214"/>
      <c r="F386" s="215">
        <v>3149.47</v>
      </c>
      <c r="G386" s="231">
        <v>31.64</v>
      </c>
      <c r="H386" s="214"/>
      <c r="J386" s="41"/>
    </row>
    <row r="387" spans="1:10" hidden="1">
      <c r="A387" s="233">
        <v>42377</v>
      </c>
      <c r="B387" s="213"/>
      <c r="C387" s="213"/>
      <c r="D387" s="213"/>
      <c r="E387" s="214"/>
      <c r="F387" s="215">
        <v>3287.28</v>
      </c>
      <c r="G387" s="231">
        <v>35.04</v>
      </c>
      <c r="H387" s="214"/>
      <c r="J387" s="41"/>
    </row>
    <row r="388" spans="1:10" hidden="1">
      <c r="A388" s="230">
        <v>42384</v>
      </c>
      <c r="B388" s="213"/>
      <c r="C388" s="213"/>
      <c r="D388" s="213"/>
      <c r="E388" s="214"/>
      <c r="F388" s="215">
        <v>3240.71</v>
      </c>
      <c r="G388" s="231">
        <v>32.880000000000003</v>
      </c>
      <c r="H388" s="214"/>
      <c r="J388" s="41"/>
    </row>
    <row r="389" spans="1:10" hidden="1">
      <c r="A389" s="233">
        <v>42391</v>
      </c>
      <c r="B389" s="213"/>
      <c r="C389" s="213"/>
      <c r="D389" s="213"/>
      <c r="E389" s="214"/>
      <c r="F389" s="215">
        <v>3368.49</v>
      </c>
      <c r="G389" s="231">
        <v>42.64</v>
      </c>
      <c r="H389" s="214"/>
      <c r="J389" s="41"/>
    </row>
    <row r="390" spans="1:10" hidden="1">
      <c r="A390" s="230">
        <v>42398</v>
      </c>
      <c r="B390" s="213"/>
      <c r="C390" s="213"/>
      <c r="D390" s="213"/>
      <c r="E390" s="214"/>
      <c r="F390" s="215">
        <v>3302.92</v>
      </c>
      <c r="G390" s="231">
        <v>39.81</v>
      </c>
      <c r="H390" s="214"/>
      <c r="J390" s="41"/>
    </row>
    <row r="391" spans="1:10" hidden="1">
      <c r="A391" s="233">
        <v>42405</v>
      </c>
      <c r="B391" s="213"/>
      <c r="C391" s="213"/>
      <c r="D391" s="213"/>
      <c r="E391" s="214"/>
      <c r="F391" s="215">
        <v>3315.75</v>
      </c>
      <c r="G391" s="231">
        <v>39.21</v>
      </c>
      <c r="H391" s="214"/>
      <c r="J391" s="41"/>
    </row>
    <row r="392" spans="1:10" hidden="1">
      <c r="A392" s="233">
        <v>42412</v>
      </c>
      <c r="B392" s="213"/>
      <c r="C392" s="213"/>
      <c r="D392" s="213"/>
      <c r="E392" s="214"/>
      <c r="F392" s="215">
        <v>3434.89</v>
      </c>
      <c r="G392" s="231">
        <v>42.14</v>
      </c>
      <c r="H392" s="214"/>
      <c r="J392" s="41"/>
    </row>
    <row r="393" spans="1:10" hidden="1">
      <c r="A393" s="233">
        <v>42419</v>
      </c>
      <c r="B393" s="213"/>
      <c r="C393" s="213"/>
      <c r="D393" s="213"/>
      <c r="E393" s="214"/>
      <c r="F393" s="215">
        <v>3338.03</v>
      </c>
      <c r="G393" s="231">
        <v>37.380000000000003</v>
      </c>
      <c r="H393" s="214"/>
      <c r="J393" s="41"/>
    </row>
    <row r="394" spans="1:10" hidden="1">
      <c r="A394" s="233">
        <v>42426</v>
      </c>
      <c r="B394" s="213"/>
      <c r="C394" s="213"/>
      <c r="D394" s="213"/>
      <c r="E394" s="214"/>
      <c r="F394" s="215">
        <v>3310.16</v>
      </c>
      <c r="G394" s="231">
        <v>32.97</v>
      </c>
      <c r="H394" s="214"/>
      <c r="J394" s="41"/>
    </row>
    <row r="395" spans="1:10" hidden="1">
      <c r="A395" s="233">
        <v>42433</v>
      </c>
      <c r="B395" s="213"/>
      <c r="C395" s="213"/>
      <c r="D395" s="213"/>
      <c r="E395" s="214"/>
      <c r="F395" s="215">
        <v>3203.03</v>
      </c>
      <c r="G395" s="231">
        <v>24.83</v>
      </c>
      <c r="H395" s="214"/>
      <c r="J395" s="41"/>
    </row>
    <row r="396" spans="1:10" hidden="1">
      <c r="A396" s="233">
        <v>42440</v>
      </c>
      <c r="B396" s="213"/>
      <c r="C396" s="213"/>
      <c r="D396" s="213"/>
      <c r="E396" s="214"/>
      <c r="F396" s="215">
        <v>3204.27</v>
      </c>
      <c r="G396" s="231">
        <v>21.67</v>
      </c>
      <c r="H396" s="214"/>
      <c r="J396" s="41"/>
    </row>
    <row r="397" spans="1:10" hidden="1">
      <c r="A397" s="233">
        <v>42447</v>
      </c>
      <c r="B397" s="213"/>
      <c r="C397" s="213"/>
      <c r="D397" s="213"/>
      <c r="E397" s="214"/>
      <c r="F397" s="215">
        <v>3087.39</v>
      </c>
      <c r="G397" s="231">
        <v>16.440000000000001</v>
      </c>
      <c r="H397" s="214"/>
      <c r="J397" s="41"/>
    </row>
    <row r="398" spans="1:10" hidden="1">
      <c r="A398" s="233">
        <v>42454</v>
      </c>
      <c r="B398" s="213"/>
      <c r="C398" s="213"/>
      <c r="D398" s="213"/>
      <c r="E398" s="214"/>
      <c r="F398" s="215">
        <v>3058.8</v>
      </c>
      <c r="G398" s="231">
        <v>20.64</v>
      </c>
      <c r="H398" s="214"/>
      <c r="J398" s="41"/>
    </row>
    <row r="399" spans="1:10" hidden="1">
      <c r="A399" s="233">
        <v>42461</v>
      </c>
      <c r="B399" s="213"/>
      <c r="C399" s="213"/>
      <c r="D399" s="213"/>
      <c r="E399" s="214"/>
      <c r="F399" s="215">
        <v>3000.63</v>
      </c>
      <c r="G399" s="231">
        <v>16.47</v>
      </c>
      <c r="H399" s="214"/>
      <c r="J399" s="41"/>
    </row>
    <row r="400" spans="1:10" hidden="1">
      <c r="A400" s="233">
        <v>42468</v>
      </c>
      <c r="B400" s="213"/>
      <c r="C400" s="213"/>
      <c r="D400" s="213"/>
      <c r="E400" s="214"/>
      <c r="F400" s="215">
        <v>3109.6</v>
      </c>
      <c r="G400" s="231">
        <v>24.84</v>
      </c>
      <c r="H400" s="214"/>
      <c r="J400" s="41"/>
    </row>
    <row r="401" spans="1:10" hidden="1">
      <c r="A401" s="233">
        <v>42475</v>
      </c>
      <c r="B401" s="213"/>
      <c r="C401" s="213"/>
      <c r="D401" s="213"/>
      <c r="E401" s="214"/>
      <c r="F401" s="215">
        <v>3000.78</v>
      </c>
      <c r="G401" s="231">
        <v>18.39</v>
      </c>
      <c r="H401" s="214"/>
      <c r="J401" s="41"/>
    </row>
    <row r="402" spans="1:10" hidden="1">
      <c r="A402" s="233">
        <v>42482</v>
      </c>
      <c r="B402" s="213"/>
      <c r="C402" s="213"/>
      <c r="D402" s="213"/>
      <c r="E402" s="214"/>
      <c r="F402" s="215">
        <v>2928.7</v>
      </c>
      <c r="G402" s="231">
        <v>17.690000000000001</v>
      </c>
      <c r="H402" s="214"/>
      <c r="J402" s="41"/>
    </row>
    <row r="403" spans="1:10" hidden="1">
      <c r="A403" s="233">
        <v>42489</v>
      </c>
      <c r="B403" s="213"/>
      <c r="C403" s="213"/>
      <c r="D403" s="213"/>
      <c r="E403" s="214"/>
      <c r="F403" s="215">
        <v>2885.72</v>
      </c>
      <c r="G403" s="231">
        <v>20.84</v>
      </c>
      <c r="H403" s="214"/>
      <c r="J403" s="41"/>
    </row>
    <row r="404" spans="1:10" hidden="1">
      <c r="A404" s="233">
        <v>42496</v>
      </c>
      <c r="B404" s="213"/>
      <c r="C404" s="213"/>
      <c r="D404" s="213"/>
      <c r="E404" s="214"/>
      <c r="F404" s="215">
        <v>2952.37</v>
      </c>
      <c r="G404" s="231">
        <v>24.97</v>
      </c>
      <c r="H404" s="214"/>
      <c r="J404" s="41"/>
    </row>
    <row r="405" spans="1:10" hidden="1">
      <c r="A405" s="233">
        <v>42503</v>
      </c>
      <c r="B405" s="213"/>
      <c r="C405" s="213"/>
      <c r="D405" s="213"/>
      <c r="E405" s="214"/>
      <c r="F405" s="215">
        <v>2934.88</v>
      </c>
      <c r="G405" s="231">
        <v>23.42</v>
      </c>
      <c r="H405" s="214"/>
      <c r="J405" s="41"/>
    </row>
    <row r="406" spans="1:10" hidden="1">
      <c r="A406" s="233">
        <v>42510</v>
      </c>
      <c r="B406" s="213"/>
      <c r="C406" s="213"/>
      <c r="D406" s="213"/>
      <c r="E406" s="214"/>
      <c r="F406" s="215">
        <v>3056.06</v>
      </c>
      <c r="G406" s="231">
        <v>22.08</v>
      </c>
      <c r="H406" s="214"/>
      <c r="J406" s="41"/>
    </row>
    <row r="407" spans="1:10" hidden="1">
      <c r="A407" s="233">
        <v>42517</v>
      </c>
      <c r="B407" s="213"/>
      <c r="C407" s="213"/>
      <c r="D407" s="213"/>
      <c r="E407" s="214"/>
      <c r="F407" s="215">
        <v>3054.6</v>
      </c>
      <c r="G407" s="231">
        <v>19.88</v>
      </c>
      <c r="H407" s="214"/>
      <c r="J407" s="41"/>
    </row>
    <row r="408" spans="1:10" hidden="1">
      <c r="A408" s="233">
        <v>42524</v>
      </c>
      <c r="B408" s="213"/>
      <c r="C408" s="213"/>
      <c r="D408" s="213"/>
      <c r="E408" s="214"/>
      <c r="F408" s="215">
        <v>3110.88</v>
      </c>
      <c r="G408" s="231">
        <v>20.96</v>
      </c>
      <c r="H408" s="214"/>
      <c r="J408" s="41"/>
    </row>
    <row r="409" spans="1:10" hidden="1">
      <c r="A409" s="233">
        <v>42531</v>
      </c>
      <c r="B409" s="213"/>
      <c r="C409" s="213"/>
      <c r="D409" s="213"/>
      <c r="E409" s="214"/>
      <c r="F409" s="215">
        <v>2942.13</v>
      </c>
      <c r="G409" s="231">
        <v>16.61</v>
      </c>
      <c r="H409" s="214"/>
      <c r="J409" s="41"/>
    </row>
    <row r="410" spans="1:10" hidden="1">
      <c r="A410" s="233">
        <v>42538</v>
      </c>
      <c r="B410" s="213"/>
      <c r="C410" s="213"/>
      <c r="D410" s="213"/>
      <c r="E410" s="214"/>
      <c r="F410" s="215">
        <v>3019.12</v>
      </c>
      <c r="G410" s="231">
        <v>18.38</v>
      </c>
      <c r="H410" s="214"/>
      <c r="J410" s="41"/>
    </row>
    <row r="411" spans="1:10" hidden="1">
      <c r="A411" s="233">
        <v>42545</v>
      </c>
      <c r="B411" s="213"/>
      <c r="C411" s="213"/>
      <c r="D411" s="213"/>
      <c r="E411" s="214"/>
      <c r="F411" s="215">
        <v>2897.53</v>
      </c>
      <c r="G411" s="231">
        <v>12.89</v>
      </c>
      <c r="H411" s="214"/>
      <c r="J411" s="41"/>
    </row>
    <row r="412" spans="1:10" hidden="1">
      <c r="A412" s="233">
        <v>42552</v>
      </c>
      <c r="B412" s="213"/>
      <c r="C412" s="213"/>
      <c r="D412" s="213"/>
      <c r="E412" s="214"/>
      <c r="F412" s="215">
        <v>2919.01</v>
      </c>
      <c r="G412" s="231">
        <v>11.12</v>
      </c>
      <c r="H412" s="214"/>
      <c r="J412" s="41"/>
    </row>
    <row r="413" spans="1:10" hidden="1">
      <c r="A413" s="233">
        <v>42559</v>
      </c>
      <c r="B413" s="213"/>
      <c r="C413" s="213"/>
      <c r="D413" s="213"/>
      <c r="E413" s="214"/>
      <c r="F413" s="215">
        <v>2986.49</v>
      </c>
      <c r="G413" s="231">
        <v>10.99</v>
      </c>
      <c r="H413" s="214"/>
      <c r="J413" s="41"/>
    </row>
    <row r="414" spans="1:10" hidden="1">
      <c r="A414" s="233">
        <v>42566</v>
      </c>
      <c r="B414" s="213"/>
      <c r="C414" s="213"/>
      <c r="D414" s="213"/>
      <c r="E414" s="214"/>
      <c r="F414" s="215">
        <v>2923.07</v>
      </c>
      <c r="G414" s="231">
        <v>7.74</v>
      </c>
      <c r="H414" s="214"/>
      <c r="J414" s="41"/>
    </row>
    <row r="415" spans="1:10" hidden="1">
      <c r="A415" s="233">
        <v>42573</v>
      </c>
      <c r="B415" s="213"/>
      <c r="C415" s="213"/>
      <c r="D415" s="213"/>
      <c r="E415" s="214"/>
      <c r="F415" s="215">
        <v>2928.67</v>
      </c>
      <c r="G415" s="231">
        <v>4.96</v>
      </c>
      <c r="H415" s="214"/>
      <c r="J415" s="41"/>
    </row>
    <row r="416" spans="1:10" hidden="1">
      <c r="A416" s="233">
        <v>42580</v>
      </c>
      <c r="B416" s="213"/>
      <c r="C416" s="213"/>
      <c r="D416" s="213"/>
      <c r="E416" s="214"/>
      <c r="F416" s="215">
        <v>3091.78</v>
      </c>
      <c r="G416" s="231">
        <v>8.2799999999999994</v>
      </c>
      <c r="H416" s="214"/>
      <c r="J416" s="41"/>
    </row>
    <row r="417" spans="1:10" hidden="1">
      <c r="A417" s="233">
        <v>42587</v>
      </c>
      <c r="B417" s="213"/>
      <c r="C417" s="213"/>
      <c r="D417" s="213"/>
      <c r="E417" s="214"/>
      <c r="F417" s="215">
        <v>3079.83</v>
      </c>
      <c r="G417" s="231">
        <v>4.54</v>
      </c>
      <c r="H417" s="214"/>
      <c r="J417" s="41"/>
    </row>
    <row r="418" spans="1:10" hidden="1">
      <c r="A418" s="233">
        <v>42594</v>
      </c>
      <c r="B418" s="213"/>
      <c r="C418" s="213"/>
      <c r="D418" s="213"/>
      <c r="E418" s="214"/>
      <c r="F418" s="215">
        <v>2911.26</v>
      </c>
      <c r="G418" s="231">
        <v>-0.9</v>
      </c>
      <c r="H418" s="214"/>
      <c r="J418" s="41"/>
    </row>
    <row r="419" spans="1:10" hidden="1">
      <c r="A419" s="233">
        <v>42601</v>
      </c>
      <c r="B419" s="213"/>
      <c r="C419" s="213"/>
      <c r="D419" s="213"/>
      <c r="E419" s="214"/>
      <c r="F419" s="215">
        <v>2884.02</v>
      </c>
      <c r="G419" s="231">
        <v>-4.7300000000000004</v>
      </c>
      <c r="H419" s="214"/>
      <c r="J419" s="41"/>
    </row>
    <row r="420" spans="1:10" hidden="1">
      <c r="A420" s="233">
        <v>42608</v>
      </c>
      <c r="B420" s="213"/>
      <c r="C420" s="213"/>
      <c r="D420" s="213"/>
      <c r="E420" s="214"/>
      <c r="F420" s="215">
        <v>2915.67</v>
      </c>
      <c r="G420" s="231">
        <v>-9.9700000000000006</v>
      </c>
      <c r="H420" s="214"/>
      <c r="J420" s="41"/>
    </row>
    <row r="421" spans="1:10" hidden="1">
      <c r="A421" s="233">
        <v>42615</v>
      </c>
      <c r="B421" s="213"/>
      <c r="C421" s="213"/>
      <c r="D421" s="213"/>
      <c r="E421" s="214"/>
      <c r="F421" s="215">
        <v>2986.36</v>
      </c>
      <c r="G421" s="231">
        <v>-4.96</v>
      </c>
      <c r="H421" s="214"/>
      <c r="J421" s="41"/>
    </row>
    <row r="422" spans="1:10" hidden="1">
      <c r="A422" s="233">
        <v>42622</v>
      </c>
      <c r="B422" s="213"/>
      <c r="C422" s="213"/>
      <c r="D422" s="213"/>
      <c r="E422" s="214"/>
      <c r="F422" s="215">
        <v>2846.13</v>
      </c>
      <c r="G422" s="231">
        <v>-8.35</v>
      </c>
      <c r="H422" s="214"/>
      <c r="J422" s="41"/>
    </row>
    <row r="423" spans="1:10" hidden="1">
      <c r="A423" s="233">
        <v>42629</v>
      </c>
      <c r="B423" s="213"/>
      <c r="C423" s="213"/>
      <c r="D423" s="213"/>
      <c r="E423" s="214"/>
      <c r="F423" s="215">
        <v>2938.5</v>
      </c>
      <c r="G423" s="231">
        <v>-1.69</v>
      </c>
      <c r="H423" s="214"/>
      <c r="J423" s="41"/>
    </row>
    <row r="424" spans="1:10" hidden="1">
      <c r="A424" s="233">
        <v>42636</v>
      </c>
      <c r="B424" s="213"/>
      <c r="C424" s="213"/>
      <c r="D424" s="213"/>
      <c r="E424" s="214"/>
      <c r="F424" s="215">
        <v>2862.52</v>
      </c>
      <c r="G424" s="231">
        <v>-7.64</v>
      </c>
      <c r="H424" s="214"/>
      <c r="J424" s="41"/>
    </row>
    <row r="425" spans="1:10" hidden="1">
      <c r="A425" s="233">
        <v>42643</v>
      </c>
      <c r="B425" s="213"/>
      <c r="C425" s="213"/>
      <c r="D425" s="213"/>
      <c r="E425" s="214"/>
      <c r="F425" s="215">
        <v>2879.95</v>
      </c>
      <c r="G425" s="231">
        <v>-6.7</v>
      </c>
      <c r="H425" s="214"/>
      <c r="J425" s="41"/>
    </row>
    <row r="426" spans="1:10" hidden="1">
      <c r="A426" s="233">
        <v>42650</v>
      </c>
      <c r="B426" s="213"/>
      <c r="C426" s="213"/>
      <c r="D426" s="213"/>
      <c r="E426" s="214"/>
      <c r="F426" s="215">
        <v>2924.8</v>
      </c>
      <c r="G426" s="231">
        <v>1.1399999999999999</v>
      </c>
      <c r="H426" s="214"/>
      <c r="J426" s="41"/>
    </row>
    <row r="427" spans="1:10" hidden="1">
      <c r="A427" s="233">
        <v>42657</v>
      </c>
      <c r="B427" s="213"/>
      <c r="C427" s="213"/>
      <c r="D427" s="213"/>
      <c r="E427" s="214"/>
      <c r="F427" s="215">
        <v>2930.78</v>
      </c>
      <c r="G427" s="231">
        <v>7.0000000000000007E-2</v>
      </c>
      <c r="H427" s="214"/>
      <c r="J427" s="41"/>
    </row>
    <row r="428" spans="1:10" hidden="1">
      <c r="A428" s="233">
        <v>42664</v>
      </c>
      <c r="B428" s="213"/>
      <c r="C428" s="213"/>
      <c r="D428" s="213"/>
      <c r="E428" s="214"/>
      <c r="F428" s="215">
        <v>2934.03</v>
      </c>
      <c r="G428" s="231">
        <v>-1.1000000000000001</v>
      </c>
      <c r="H428" s="214"/>
      <c r="J428" s="41"/>
    </row>
    <row r="429" spans="1:10" hidden="1">
      <c r="A429" s="233">
        <v>42671</v>
      </c>
      <c r="B429" s="213"/>
      <c r="C429" s="213"/>
      <c r="D429" s="213"/>
      <c r="E429" s="214"/>
      <c r="F429" s="215">
        <v>2966.61</v>
      </c>
      <c r="G429" s="231">
        <v>1.36</v>
      </c>
      <c r="H429" s="214"/>
      <c r="J429" s="41"/>
    </row>
    <row r="430" spans="1:10" hidden="1">
      <c r="A430" s="233">
        <v>42678</v>
      </c>
      <c r="B430" s="213"/>
      <c r="C430" s="213"/>
      <c r="D430" s="213"/>
      <c r="E430" s="214"/>
      <c r="F430" s="215">
        <v>3071.12</v>
      </c>
      <c r="G430" s="231">
        <v>8.92</v>
      </c>
      <c r="H430" s="214"/>
      <c r="J430" s="41"/>
    </row>
    <row r="431" spans="1:10" hidden="1">
      <c r="A431" s="233">
        <v>42685</v>
      </c>
      <c r="B431" s="213"/>
      <c r="C431" s="213"/>
      <c r="D431" s="213"/>
      <c r="E431" s="214"/>
      <c r="F431" s="215">
        <v>3100.12</v>
      </c>
      <c r="G431" s="231">
        <v>5.59</v>
      </c>
      <c r="H431" s="214"/>
      <c r="J431" s="41"/>
    </row>
    <row r="432" spans="1:10" hidden="1">
      <c r="A432" s="233">
        <v>42692</v>
      </c>
      <c r="B432" s="213"/>
      <c r="C432" s="213"/>
      <c r="D432" s="213"/>
      <c r="E432" s="214"/>
      <c r="F432" s="215">
        <v>3135.65</v>
      </c>
      <c r="G432" s="231">
        <v>0.87</v>
      </c>
      <c r="H432" s="214"/>
      <c r="J432" s="41"/>
    </row>
    <row r="433" spans="1:10" hidden="1">
      <c r="A433" s="233">
        <v>42699</v>
      </c>
      <c r="B433" s="213"/>
      <c r="C433" s="213"/>
      <c r="D433" s="213"/>
      <c r="E433" s="214"/>
      <c r="F433" s="215">
        <v>3187.97</v>
      </c>
      <c r="G433" s="231">
        <v>2.85</v>
      </c>
      <c r="H433" s="214"/>
      <c r="J433" s="41"/>
    </row>
    <row r="434" spans="1:10" hidden="1">
      <c r="A434" s="233">
        <v>42706</v>
      </c>
      <c r="B434" s="213"/>
      <c r="C434" s="213"/>
      <c r="D434" s="213"/>
      <c r="E434" s="214"/>
      <c r="F434" s="215">
        <v>3068.34</v>
      </c>
      <c r="G434" s="231">
        <v>-3.11</v>
      </c>
      <c r="H434" s="214"/>
      <c r="J434" s="41"/>
    </row>
    <row r="435" spans="1:10" hidden="1">
      <c r="A435" s="233">
        <v>42713</v>
      </c>
      <c r="B435" s="213"/>
      <c r="C435" s="213"/>
      <c r="D435" s="213"/>
      <c r="E435" s="214"/>
      <c r="F435" s="215">
        <v>2989.71</v>
      </c>
      <c r="G435" s="231">
        <v>-9.24</v>
      </c>
      <c r="H435" s="214"/>
      <c r="J435" s="41"/>
    </row>
    <row r="436" spans="1:10" hidden="1">
      <c r="A436" s="233">
        <v>42720</v>
      </c>
      <c r="B436" s="213"/>
      <c r="C436" s="213"/>
      <c r="D436" s="213"/>
      <c r="E436" s="214"/>
      <c r="F436" s="215">
        <v>3000.47</v>
      </c>
      <c r="G436" s="231">
        <v>-9.56</v>
      </c>
      <c r="H436" s="214"/>
      <c r="J436" s="41"/>
    </row>
    <row r="437" spans="1:10" hidden="1">
      <c r="A437" s="233">
        <v>42727</v>
      </c>
      <c r="B437" s="213"/>
      <c r="C437" s="213"/>
      <c r="D437" s="213"/>
      <c r="E437" s="214"/>
      <c r="F437" s="215">
        <v>2996.03</v>
      </c>
      <c r="G437" s="231">
        <v>-7.96</v>
      </c>
      <c r="H437" s="214"/>
      <c r="J437" s="41"/>
    </row>
    <row r="438" spans="1:10" hidden="1">
      <c r="A438" s="233">
        <v>42734</v>
      </c>
      <c r="B438" s="213"/>
      <c r="C438" s="213"/>
      <c r="D438" s="213"/>
      <c r="E438" s="214"/>
      <c r="F438" s="215">
        <v>3000.71</v>
      </c>
      <c r="G438" s="231">
        <v>-4.72</v>
      </c>
      <c r="H438" s="214"/>
      <c r="J438" s="41"/>
    </row>
    <row r="439" spans="1:10" hidden="1">
      <c r="A439" s="233">
        <v>42741</v>
      </c>
      <c r="B439" s="213"/>
      <c r="C439" s="213"/>
      <c r="D439" s="213"/>
      <c r="E439" s="214"/>
      <c r="F439" s="215">
        <v>2941.08</v>
      </c>
      <c r="G439" s="231">
        <v>-9.52</v>
      </c>
      <c r="H439" s="214"/>
      <c r="J439" s="41"/>
    </row>
    <row r="440" spans="1:10" hidden="1">
      <c r="A440" s="233">
        <v>42748</v>
      </c>
      <c r="B440" s="213"/>
      <c r="C440" s="213"/>
      <c r="D440" s="213"/>
      <c r="E440" s="214"/>
      <c r="F440" s="215">
        <v>2930.19</v>
      </c>
      <c r="G440" s="231">
        <v>-9.43</v>
      </c>
      <c r="H440" s="214"/>
      <c r="J440" s="41"/>
    </row>
    <row r="441" spans="1:10" hidden="1">
      <c r="A441" s="233">
        <v>42755</v>
      </c>
      <c r="B441" s="213"/>
      <c r="C441" s="213"/>
      <c r="D441" s="213"/>
      <c r="E441" s="214"/>
      <c r="F441" s="215">
        <v>2938.24</v>
      </c>
      <c r="G441" s="231">
        <v>-12.49</v>
      </c>
      <c r="H441" s="214"/>
      <c r="J441" s="41"/>
    </row>
    <row r="442" spans="1:10" hidden="1">
      <c r="A442" s="233">
        <v>42762</v>
      </c>
      <c r="B442" s="213"/>
      <c r="C442" s="213"/>
      <c r="D442" s="213"/>
      <c r="E442" s="214"/>
      <c r="F442" s="215">
        <v>2936.72</v>
      </c>
      <c r="G442" s="231">
        <v>-12.77</v>
      </c>
      <c r="H442" s="214"/>
      <c r="J442" s="41"/>
    </row>
    <row r="443" spans="1:10" hidden="1">
      <c r="A443" s="233">
        <v>42769</v>
      </c>
      <c r="B443" s="213"/>
      <c r="C443" s="213"/>
      <c r="D443" s="213"/>
      <c r="E443" s="214"/>
      <c r="F443" s="215">
        <v>2882.2</v>
      </c>
      <c r="G443" s="231">
        <v>-14.78</v>
      </c>
      <c r="H443" s="214"/>
      <c r="J443" s="41"/>
    </row>
    <row r="444" spans="1:10" hidden="1">
      <c r="A444" s="233">
        <v>42776</v>
      </c>
      <c r="B444" s="213"/>
      <c r="C444" s="213"/>
      <c r="D444" s="213"/>
      <c r="E444" s="214"/>
      <c r="F444" s="215">
        <v>2862.63</v>
      </c>
      <c r="G444" s="231">
        <v>-15.45</v>
      </c>
      <c r="H444" s="214"/>
      <c r="J444" s="41"/>
    </row>
    <row r="445" spans="1:10" hidden="1">
      <c r="A445" s="233">
        <v>42783</v>
      </c>
      <c r="B445" s="213"/>
      <c r="C445" s="213"/>
      <c r="D445" s="213"/>
      <c r="E445" s="214"/>
      <c r="F445" s="215">
        <v>2875.68</v>
      </c>
      <c r="G445" s="231">
        <v>-15.22</v>
      </c>
      <c r="H445" s="214"/>
      <c r="J445" s="41"/>
    </row>
    <row r="446" spans="1:10" hidden="1">
      <c r="A446" s="233">
        <v>42790</v>
      </c>
      <c r="B446" s="213"/>
      <c r="C446" s="213"/>
      <c r="D446" s="213"/>
      <c r="E446" s="214"/>
      <c r="F446" s="215">
        <v>2871.67</v>
      </c>
      <c r="G446" s="231">
        <v>-14.07</v>
      </c>
      <c r="H446" s="214"/>
      <c r="J446" s="41"/>
    </row>
    <row r="447" spans="1:10" hidden="1">
      <c r="A447" s="233">
        <v>42797</v>
      </c>
      <c r="B447" s="213"/>
      <c r="C447" s="213"/>
      <c r="D447" s="213"/>
      <c r="E447" s="214"/>
      <c r="F447" s="215">
        <v>2960.91</v>
      </c>
      <c r="G447" s="231">
        <v>-7.63</v>
      </c>
      <c r="H447" s="214"/>
      <c r="J447" s="41"/>
    </row>
    <row r="448" spans="1:10" hidden="1">
      <c r="A448" s="233">
        <v>42804</v>
      </c>
      <c r="B448" s="213"/>
      <c r="C448" s="213"/>
      <c r="D448" s="213"/>
      <c r="E448" s="214"/>
      <c r="F448" s="215">
        <v>3004.43</v>
      </c>
      <c r="G448" s="231">
        <v>-5.89</v>
      </c>
      <c r="H448" s="214"/>
      <c r="J448" s="41"/>
    </row>
    <row r="449" spans="1:10" hidden="1">
      <c r="A449" s="233">
        <v>42811</v>
      </c>
      <c r="B449" s="213"/>
      <c r="C449" s="213"/>
      <c r="D449" s="213"/>
      <c r="E449" s="214"/>
      <c r="F449" s="215">
        <v>2923.96</v>
      </c>
      <c r="G449" s="231">
        <v>-7.35</v>
      </c>
      <c r="H449" s="214"/>
      <c r="J449" s="41"/>
    </row>
    <row r="450" spans="1:10" hidden="1">
      <c r="A450" s="233">
        <v>42818</v>
      </c>
      <c r="B450" s="213"/>
      <c r="C450" s="213"/>
      <c r="D450" s="213"/>
      <c r="E450" s="214"/>
      <c r="F450" s="215">
        <v>2921.25</v>
      </c>
      <c r="G450" s="231">
        <v>-4.5</v>
      </c>
      <c r="H450" s="214"/>
      <c r="J450" s="41"/>
    </row>
    <row r="451" spans="1:10" hidden="1">
      <c r="A451" s="233">
        <v>42825</v>
      </c>
      <c r="B451" s="213"/>
      <c r="C451" s="213"/>
      <c r="D451" s="213"/>
      <c r="E451" s="214"/>
      <c r="F451" s="215">
        <v>2880.24</v>
      </c>
      <c r="G451" s="231">
        <v>-4.7</v>
      </c>
      <c r="H451" s="214"/>
      <c r="J451" s="41"/>
    </row>
    <row r="452" spans="1:10" hidden="1">
      <c r="A452" s="233">
        <v>42832</v>
      </c>
      <c r="B452" s="213"/>
      <c r="C452" s="213"/>
      <c r="D452" s="213"/>
      <c r="E452" s="214"/>
      <c r="F452" s="215">
        <v>2853.1</v>
      </c>
      <c r="G452" s="231">
        <v>-7.41</v>
      </c>
      <c r="H452" s="214"/>
      <c r="J452" s="41"/>
    </row>
    <row r="453" spans="1:10" hidden="1">
      <c r="A453" s="233">
        <v>42839</v>
      </c>
      <c r="B453" s="213"/>
      <c r="C453" s="213"/>
      <c r="D453" s="213"/>
      <c r="E453" s="214"/>
      <c r="F453" s="215">
        <v>2872.55</v>
      </c>
      <c r="G453" s="231">
        <v>-4.45</v>
      </c>
      <c r="H453" s="214"/>
      <c r="J453" s="41"/>
    </row>
    <row r="454" spans="1:10" hidden="1">
      <c r="A454" s="233">
        <v>42846</v>
      </c>
      <c r="B454" s="213"/>
      <c r="C454" s="213"/>
      <c r="D454" s="213"/>
      <c r="E454" s="214"/>
      <c r="F454" s="215">
        <v>2863.39</v>
      </c>
      <c r="G454" s="231">
        <v>-1.26</v>
      </c>
      <c r="H454" s="214"/>
      <c r="J454" s="41"/>
    </row>
    <row r="455" spans="1:10" hidden="1">
      <c r="A455" s="233">
        <v>42853</v>
      </c>
      <c r="B455" s="213"/>
      <c r="C455" s="213"/>
      <c r="D455" s="213"/>
      <c r="E455" s="214"/>
      <c r="F455" s="215">
        <v>2944.31</v>
      </c>
      <c r="G455" s="231">
        <v>0.04</v>
      </c>
      <c r="H455" s="214"/>
      <c r="J455" s="41"/>
    </row>
    <row r="456" spans="1:10" hidden="1">
      <c r="A456" s="233">
        <v>42860</v>
      </c>
      <c r="B456" s="213"/>
      <c r="C456" s="213"/>
      <c r="D456" s="213"/>
      <c r="E456" s="214"/>
      <c r="F456" s="215">
        <v>2967.44</v>
      </c>
      <c r="G456" s="231">
        <v>0.86</v>
      </c>
      <c r="H456" s="214"/>
      <c r="J456" s="41"/>
    </row>
    <row r="457" spans="1:10" hidden="1">
      <c r="A457" s="233">
        <v>42867</v>
      </c>
      <c r="B457" s="213"/>
      <c r="C457" s="213"/>
      <c r="D457" s="213"/>
      <c r="E457" s="214"/>
      <c r="F457" s="215">
        <v>2933.92</v>
      </c>
      <c r="G457" s="231">
        <v>-0.77</v>
      </c>
      <c r="H457" s="214"/>
      <c r="J457" s="41"/>
    </row>
    <row r="458" spans="1:10" hidden="1">
      <c r="A458" s="233">
        <v>42874</v>
      </c>
      <c r="B458" s="213"/>
      <c r="C458" s="213"/>
      <c r="D458" s="213"/>
      <c r="E458" s="214"/>
      <c r="F458" s="215">
        <v>2932.16</v>
      </c>
      <c r="G458" s="231">
        <v>-3.28</v>
      </c>
      <c r="H458" s="214"/>
      <c r="J458" s="41"/>
    </row>
    <row r="459" spans="1:10" hidden="1">
      <c r="A459" s="233">
        <v>42881</v>
      </c>
      <c r="B459" s="213"/>
      <c r="C459" s="213"/>
      <c r="D459" s="213"/>
      <c r="E459" s="214"/>
      <c r="F459" s="215">
        <v>2911.66</v>
      </c>
      <c r="G459" s="231">
        <v>-4.91</v>
      </c>
      <c r="H459" s="214"/>
      <c r="J459" s="41"/>
    </row>
    <row r="460" spans="1:10" hidden="1">
      <c r="A460" s="233">
        <v>42888</v>
      </c>
      <c r="B460" s="213"/>
      <c r="C460" s="213"/>
      <c r="D460" s="213"/>
      <c r="E460" s="214"/>
      <c r="F460" s="215">
        <v>2895.73</v>
      </c>
      <c r="G460" s="231">
        <v>-7.12</v>
      </c>
      <c r="H460" s="214"/>
      <c r="J460" s="41"/>
    </row>
    <row r="461" spans="1:10" hidden="1">
      <c r="A461" s="233">
        <v>42895</v>
      </c>
      <c r="B461" s="213"/>
      <c r="C461" s="213"/>
      <c r="D461" s="213"/>
      <c r="E461" s="214"/>
      <c r="F461" s="215">
        <v>2919.82</v>
      </c>
      <c r="G461" s="231">
        <v>0.5</v>
      </c>
      <c r="H461" s="214"/>
      <c r="J461" s="41"/>
    </row>
    <row r="462" spans="1:10" hidden="1">
      <c r="A462" s="233">
        <v>42902</v>
      </c>
      <c r="B462" s="213"/>
      <c r="C462" s="213"/>
      <c r="D462" s="213"/>
      <c r="E462" s="214"/>
      <c r="F462" s="215">
        <v>2953.83</v>
      </c>
      <c r="G462" s="231">
        <v>-1.2</v>
      </c>
      <c r="H462" s="214"/>
      <c r="J462" s="41"/>
    </row>
    <row r="463" spans="1:10" hidden="1">
      <c r="A463" s="233">
        <v>42909</v>
      </c>
      <c r="B463" s="213"/>
      <c r="C463" s="213"/>
      <c r="D463" s="213"/>
      <c r="E463" s="214"/>
      <c r="F463" s="215">
        <v>3035.83</v>
      </c>
      <c r="G463" s="231">
        <v>3.12</v>
      </c>
      <c r="H463" s="214"/>
      <c r="J463" s="41"/>
    </row>
    <row r="464" spans="1:10" hidden="1">
      <c r="A464" s="233">
        <v>42916</v>
      </c>
      <c r="B464" s="213"/>
      <c r="C464" s="213"/>
      <c r="D464" s="213"/>
      <c r="E464" s="214"/>
      <c r="F464" s="215">
        <v>3038.26</v>
      </c>
      <c r="G464" s="231">
        <v>4.1900000000000004</v>
      </c>
      <c r="H464" s="214"/>
      <c r="J464" s="41"/>
    </row>
    <row r="465" spans="1:10" hidden="1">
      <c r="A465" s="233">
        <v>42923</v>
      </c>
      <c r="B465" s="213"/>
      <c r="C465" s="213"/>
      <c r="D465" s="213"/>
      <c r="E465" s="214"/>
      <c r="F465" s="215">
        <v>3084.19</v>
      </c>
      <c r="G465" s="231">
        <v>2.7</v>
      </c>
      <c r="H465" s="214"/>
      <c r="J465" s="41"/>
    </row>
    <row r="466" spans="1:10" hidden="1">
      <c r="A466" s="233">
        <v>42930</v>
      </c>
      <c r="B466" s="213"/>
      <c r="C466" s="213"/>
      <c r="D466" s="213"/>
      <c r="E466" s="214"/>
      <c r="F466" s="215">
        <v>3043.6</v>
      </c>
      <c r="G466" s="231">
        <v>3.65</v>
      </c>
      <c r="H466" s="214"/>
      <c r="J466" s="41"/>
    </row>
    <row r="467" spans="1:10" hidden="1">
      <c r="A467" s="233">
        <v>42937</v>
      </c>
      <c r="B467" s="213"/>
      <c r="C467" s="213"/>
      <c r="D467" s="213"/>
      <c r="E467" s="214"/>
      <c r="F467" s="215">
        <v>3010</v>
      </c>
      <c r="G467" s="231">
        <v>2.69</v>
      </c>
      <c r="H467" s="214"/>
      <c r="J467" s="41"/>
    </row>
    <row r="468" spans="1:10" hidden="1">
      <c r="A468" s="233">
        <v>42944</v>
      </c>
      <c r="B468" s="213"/>
      <c r="C468" s="213"/>
      <c r="D468" s="213"/>
      <c r="E468" s="214"/>
      <c r="F468" s="215">
        <v>3002.94</v>
      </c>
      <c r="G468" s="231">
        <v>-2.2999999999999998</v>
      </c>
      <c r="H468" s="214"/>
      <c r="J468" s="41"/>
    </row>
    <row r="469" spans="1:10" hidden="1">
      <c r="A469" s="233">
        <v>42951</v>
      </c>
      <c r="B469" s="213"/>
      <c r="C469" s="213"/>
      <c r="D469" s="213"/>
      <c r="E469" s="214"/>
      <c r="F469" s="215">
        <v>2954.54</v>
      </c>
      <c r="G469" s="231">
        <v>-5.01</v>
      </c>
      <c r="H469" s="214"/>
      <c r="J469" s="41"/>
    </row>
    <row r="470" spans="1:10" hidden="1">
      <c r="A470" s="233">
        <v>42958</v>
      </c>
      <c r="B470" s="213"/>
      <c r="C470" s="213"/>
      <c r="D470" s="213"/>
      <c r="E470" s="214"/>
      <c r="F470" s="215">
        <v>2994.85</v>
      </c>
      <c r="G470" s="231">
        <v>1.35</v>
      </c>
      <c r="H470" s="214"/>
      <c r="J470" s="41"/>
    </row>
    <row r="471" spans="1:10" hidden="1">
      <c r="A471" s="233">
        <v>42965</v>
      </c>
      <c r="B471" s="213"/>
      <c r="C471" s="213"/>
      <c r="D471" s="213"/>
      <c r="E471" s="214"/>
      <c r="F471" s="215">
        <v>2980.03</v>
      </c>
      <c r="G471" s="231">
        <v>2.12</v>
      </c>
      <c r="H471" s="214"/>
      <c r="J471" s="41"/>
    </row>
    <row r="472" spans="1:10" hidden="1">
      <c r="A472" s="233">
        <v>42972</v>
      </c>
      <c r="B472" s="213"/>
      <c r="C472" s="213"/>
      <c r="D472" s="213"/>
      <c r="E472" s="214"/>
      <c r="F472" s="215">
        <v>2972.98</v>
      </c>
      <c r="G472" s="231">
        <v>1.18</v>
      </c>
      <c r="H472" s="214"/>
      <c r="J472" s="41"/>
    </row>
    <row r="473" spans="1:10" hidden="1">
      <c r="A473" s="233">
        <v>42979</v>
      </c>
      <c r="B473" s="213"/>
      <c r="C473" s="213"/>
      <c r="D473" s="213"/>
      <c r="E473" s="214"/>
      <c r="F473" s="215">
        <v>2948.09</v>
      </c>
      <c r="G473" s="231">
        <v>-0.28999999999999998</v>
      </c>
      <c r="H473" s="214"/>
      <c r="J473" s="41"/>
    </row>
    <row r="474" spans="1:10" hidden="1">
      <c r="A474" s="233">
        <v>42986</v>
      </c>
      <c r="B474" s="213"/>
      <c r="C474" s="213"/>
      <c r="D474" s="213"/>
      <c r="E474" s="214"/>
      <c r="F474" s="215">
        <v>2907.96</v>
      </c>
      <c r="G474" s="231">
        <v>2.38</v>
      </c>
      <c r="H474" s="214"/>
      <c r="J474" s="41"/>
    </row>
    <row r="475" spans="1:10" hidden="1">
      <c r="A475" s="233">
        <v>42993</v>
      </c>
      <c r="B475" s="213"/>
      <c r="C475" s="213"/>
      <c r="D475" s="213"/>
      <c r="E475" s="214"/>
      <c r="F475" s="215">
        <v>2905.98</v>
      </c>
      <c r="G475" s="231">
        <v>-2.2400000000000002</v>
      </c>
      <c r="H475" s="214"/>
      <c r="J475" s="41"/>
    </row>
    <row r="476" spans="1:10" hidden="1">
      <c r="A476" s="233">
        <v>43000</v>
      </c>
      <c r="B476" s="213"/>
      <c r="C476" s="213"/>
      <c r="D476" s="213"/>
      <c r="E476" s="214"/>
      <c r="F476" s="215">
        <v>2913.96</v>
      </c>
      <c r="G476" s="231">
        <v>0.68</v>
      </c>
      <c r="H476" s="214"/>
      <c r="J476" s="41"/>
    </row>
    <row r="477" spans="1:10" hidden="1">
      <c r="A477" s="233">
        <v>43007</v>
      </c>
      <c r="B477" s="213"/>
      <c r="C477" s="213"/>
      <c r="D477" s="213"/>
      <c r="E477" s="214"/>
      <c r="F477" s="215">
        <v>2941.07</v>
      </c>
      <c r="G477" s="231">
        <v>0.93</v>
      </c>
      <c r="H477" s="214"/>
      <c r="J477" s="41"/>
    </row>
    <row r="478" spans="1:10" hidden="1">
      <c r="A478" s="233">
        <v>43014</v>
      </c>
      <c r="B478" s="213"/>
      <c r="C478" s="213"/>
      <c r="D478" s="213"/>
      <c r="E478" s="214"/>
      <c r="F478" s="215">
        <v>2926.82</v>
      </c>
      <c r="G478" s="231">
        <v>-1.29</v>
      </c>
      <c r="H478" s="214"/>
      <c r="J478" s="41"/>
    </row>
    <row r="479" spans="1:10" hidden="1">
      <c r="A479" s="233">
        <v>43021</v>
      </c>
      <c r="B479" s="213"/>
      <c r="C479" s="213"/>
      <c r="D479" s="213"/>
      <c r="E479" s="214"/>
      <c r="F479" s="215">
        <v>2949.69</v>
      </c>
      <c r="G479" s="231">
        <v>1.05</v>
      </c>
      <c r="H479" s="214"/>
      <c r="J479" s="41"/>
    </row>
    <row r="480" spans="1:10" hidden="1">
      <c r="A480" s="233">
        <v>43028</v>
      </c>
      <c r="B480" s="213"/>
      <c r="C480" s="213"/>
      <c r="D480" s="213"/>
      <c r="E480" s="214"/>
      <c r="F480" s="215">
        <v>2921.92</v>
      </c>
      <c r="G480" s="231">
        <v>0.27</v>
      </c>
      <c r="H480" s="214"/>
      <c r="J480" s="41"/>
    </row>
    <row r="481" spans="1:10" hidden="1">
      <c r="A481" s="233">
        <v>43035</v>
      </c>
      <c r="B481" s="213"/>
      <c r="C481" s="213"/>
      <c r="D481" s="213"/>
      <c r="E481" s="214"/>
      <c r="F481" s="215">
        <v>3008.8</v>
      </c>
      <c r="G481" s="231">
        <v>1.47</v>
      </c>
      <c r="H481" s="214"/>
      <c r="J481" s="41"/>
    </row>
    <row r="482" spans="1:10" hidden="1">
      <c r="A482" s="233">
        <v>43042</v>
      </c>
      <c r="B482" s="213"/>
      <c r="C482" s="213"/>
      <c r="D482" s="213"/>
      <c r="E482" s="214"/>
      <c r="F482" s="215">
        <v>3054.38</v>
      </c>
      <c r="G482" s="231">
        <v>-0.53</v>
      </c>
      <c r="H482" s="214"/>
      <c r="J482" s="41"/>
    </row>
    <row r="483" spans="1:10" hidden="1">
      <c r="A483" s="233">
        <v>43049</v>
      </c>
      <c r="B483" s="213"/>
      <c r="C483" s="213"/>
      <c r="D483" s="213"/>
      <c r="E483" s="214"/>
      <c r="F483" s="215">
        <v>3015.52</v>
      </c>
      <c r="G483" s="231">
        <v>0.11</v>
      </c>
      <c r="H483" s="214"/>
      <c r="J483" s="41"/>
    </row>
    <row r="484" spans="1:10" hidden="1">
      <c r="A484" s="233">
        <v>43056</v>
      </c>
      <c r="B484" s="213"/>
      <c r="C484" s="213"/>
      <c r="D484" s="213"/>
      <c r="E484" s="214"/>
      <c r="F484" s="215">
        <v>3015.79</v>
      </c>
      <c r="G484" s="231">
        <v>-3.68</v>
      </c>
      <c r="H484" s="214"/>
      <c r="J484" s="41"/>
    </row>
    <row r="485" spans="1:10" hidden="1">
      <c r="A485" s="233">
        <v>43063</v>
      </c>
      <c r="B485" s="213"/>
      <c r="C485" s="213"/>
      <c r="D485" s="213"/>
      <c r="E485" s="214"/>
      <c r="F485" s="215">
        <v>2982.73</v>
      </c>
      <c r="G485" s="231">
        <v>-6.44</v>
      </c>
      <c r="H485" s="214"/>
      <c r="J485" s="41"/>
    </row>
    <row r="486" spans="1:10" hidden="1">
      <c r="A486" s="233">
        <v>43070</v>
      </c>
      <c r="B486" s="213"/>
      <c r="C486" s="213"/>
      <c r="D486" s="213"/>
      <c r="E486" s="214"/>
      <c r="F486" s="215">
        <v>3006.04</v>
      </c>
      <c r="G486" s="231">
        <v>-2.58</v>
      </c>
      <c r="H486" s="214"/>
      <c r="J486" s="41"/>
    </row>
    <row r="487" spans="1:10" hidden="1">
      <c r="A487" s="233">
        <v>43077</v>
      </c>
      <c r="B487" s="213"/>
      <c r="C487" s="213"/>
      <c r="D487" s="213"/>
      <c r="E487" s="214"/>
      <c r="F487" s="215">
        <v>3016.18</v>
      </c>
      <c r="G487" s="231">
        <v>0.89</v>
      </c>
      <c r="H487" s="214"/>
      <c r="J487" s="41"/>
    </row>
    <row r="488" spans="1:10" hidden="1">
      <c r="A488" s="233">
        <v>43084</v>
      </c>
      <c r="B488" s="213"/>
      <c r="C488" s="213"/>
      <c r="D488" s="213"/>
      <c r="E488" s="214"/>
      <c r="F488" s="215">
        <v>2999.07</v>
      </c>
      <c r="G488" s="231">
        <v>1.1599999999999999</v>
      </c>
      <c r="H488" s="214"/>
      <c r="J488" s="41"/>
    </row>
    <row r="489" spans="1:10" hidden="1">
      <c r="A489" s="233">
        <v>43091</v>
      </c>
      <c r="B489" s="213"/>
      <c r="C489" s="213"/>
      <c r="D489" s="213"/>
      <c r="E489" s="214"/>
      <c r="F489" s="215">
        <v>2963.58</v>
      </c>
      <c r="G489" s="231">
        <v>-0.86</v>
      </c>
      <c r="H489" s="214"/>
      <c r="J489" s="41"/>
    </row>
    <row r="490" spans="1:10" hidden="1">
      <c r="A490" s="233">
        <v>43098</v>
      </c>
      <c r="B490" s="213"/>
      <c r="C490" s="213"/>
      <c r="D490" s="213"/>
      <c r="E490" s="214"/>
      <c r="F490" s="218">
        <v>2984</v>
      </c>
      <c r="G490" s="234">
        <v>-1.18</v>
      </c>
      <c r="H490" s="214"/>
      <c r="J490" s="41"/>
    </row>
    <row r="491" spans="1:10" hidden="1">
      <c r="A491" s="233">
        <v>43105</v>
      </c>
      <c r="B491" s="213"/>
      <c r="C491" s="213"/>
      <c r="D491" s="213"/>
      <c r="E491" s="214"/>
      <c r="F491" s="218">
        <v>2885.76</v>
      </c>
      <c r="G491" s="234">
        <v>-2.68</v>
      </c>
      <c r="H491" s="214"/>
      <c r="J491" s="41"/>
    </row>
    <row r="492" spans="1:10" hidden="1">
      <c r="A492" s="233">
        <v>43112</v>
      </c>
      <c r="B492" s="213"/>
      <c r="C492" s="213"/>
      <c r="D492" s="213"/>
      <c r="E492" s="214"/>
      <c r="F492" s="218">
        <v>2865.79</v>
      </c>
      <c r="G492" s="234">
        <v>-3.86</v>
      </c>
      <c r="H492" s="214"/>
      <c r="J492" s="41"/>
    </row>
    <row r="493" spans="1:10" hidden="1">
      <c r="A493" s="233">
        <v>43119</v>
      </c>
      <c r="B493" s="213"/>
      <c r="C493" s="213"/>
      <c r="D493" s="213"/>
      <c r="E493" s="214"/>
      <c r="F493" s="218">
        <v>2836.85</v>
      </c>
      <c r="G493" s="234">
        <v>-3.33</v>
      </c>
      <c r="H493" s="214"/>
      <c r="J493" s="41"/>
    </row>
    <row r="494" spans="1:10" hidden="1">
      <c r="A494" s="233">
        <v>43126</v>
      </c>
      <c r="B494" s="213"/>
      <c r="C494" s="213"/>
      <c r="D494" s="213"/>
      <c r="E494" s="214"/>
      <c r="F494" s="218">
        <v>2783.13</v>
      </c>
      <c r="G494" s="234">
        <v>-4.93</v>
      </c>
      <c r="H494" s="214"/>
      <c r="J494" s="41"/>
    </row>
    <row r="495" spans="1:10" hidden="1">
      <c r="A495" s="233">
        <v>43133</v>
      </c>
      <c r="B495" s="213"/>
      <c r="C495" s="213"/>
      <c r="D495" s="213"/>
      <c r="E495" s="214"/>
      <c r="F495" s="218">
        <v>2806.67</v>
      </c>
      <c r="G495" s="234">
        <v>-3.44</v>
      </c>
      <c r="H495" s="214"/>
      <c r="J495" s="41"/>
    </row>
    <row r="496" spans="1:10" hidden="1">
      <c r="A496" s="233">
        <v>43140</v>
      </c>
      <c r="B496" s="213"/>
      <c r="C496" s="213"/>
      <c r="D496" s="213"/>
      <c r="E496" s="214"/>
      <c r="F496" s="218">
        <v>2862.78</v>
      </c>
      <c r="G496" s="234">
        <v>-0.57999999999999996</v>
      </c>
      <c r="H496" s="214"/>
      <c r="J496" s="41"/>
    </row>
    <row r="497" spans="1:10" hidden="1">
      <c r="A497" s="233">
        <v>43147</v>
      </c>
      <c r="B497" s="213"/>
      <c r="C497" s="213"/>
      <c r="D497" s="213"/>
      <c r="E497" s="214"/>
      <c r="F497" s="218">
        <v>2851.74</v>
      </c>
      <c r="G497" s="234">
        <v>-0.84</v>
      </c>
      <c r="H497" s="214"/>
      <c r="J497" s="41"/>
    </row>
    <row r="498" spans="1:10" hidden="1">
      <c r="A498" s="233">
        <v>43154</v>
      </c>
      <c r="B498" s="213"/>
      <c r="C498" s="213"/>
      <c r="D498" s="213"/>
      <c r="E498" s="214"/>
      <c r="F498" s="218">
        <v>2877.04</v>
      </c>
      <c r="G498" s="234">
        <v>-0.56999999999999995</v>
      </c>
      <c r="H498" s="214"/>
      <c r="J498" s="41"/>
    </row>
    <row r="499" spans="1:10" hidden="1">
      <c r="A499" s="233">
        <v>43161</v>
      </c>
      <c r="B499" s="213"/>
      <c r="C499" s="213"/>
      <c r="D499" s="213"/>
      <c r="E499" s="214"/>
      <c r="F499" s="218">
        <v>2879.05</v>
      </c>
      <c r="G499" s="234">
        <v>-1.93</v>
      </c>
      <c r="H499" s="214"/>
      <c r="J499" s="41"/>
    </row>
    <row r="500" spans="1:10" hidden="1">
      <c r="A500" s="233">
        <v>43168</v>
      </c>
      <c r="B500" s="213"/>
      <c r="C500" s="213"/>
      <c r="D500" s="213"/>
      <c r="E500" s="214"/>
      <c r="F500" s="218">
        <v>2871.36</v>
      </c>
      <c r="G500" s="234">
        <v>-3.9</v>
      </c>
      <c r="H500" s="214"/>
      <c r="J500" s="41"/>
    </row>
    <row r="501" spans="1:10" hidden="1">
      <c r="A501" s="233">
        <v>43175</v>
      </c>
      <c r="B501" s="213"/>
      <c r="C501" s="213"/>
      <c r="D501" s="213"/>
      <c r="E501" s="214"/>
      <c r="F501" s="218">
        <v>2850.04</v>
      </c>
      <c r="G501" s="234">
        <v>-4.12</v>
      </c>
      <c r="H501" s="214"/>
      <c r="J501" s="41"/>
    </row>
    <row r="502" spans="1:10" hidden="1">
      <c r="A502" s="233">
        <v>43182</v>
      </c>
      <c r="B502" s="213"/>
      <c r="C502" s="213"/>
      <c r="D502" s="213"/>
      <c r="E502" s="214"/>
      <c r="F502" s="218">
        <v>2857.88</v>
      </c>
      <c r="G502" s="234">
        <v>-2.69</v>
      </c>
      <c r="H502" s="214"/>
      <c r="J502" s="41"/>
    </row>
    <row r="503" spans="1:10" hidden="1">
      <c r="A503" s="233">
        <v>43189</v>
      </c>
      <c r="B503" s="213"/>
      <c r="C503" s="213"/>
      <c r="D503" s="213"/>
      <c r="E503" s="214"/>
      <c r="F503" s="218">
        <v>2780.47</v>
      </c>
      <c r="G503" s="234">
        <v>-3.72</v>
      </c>
      <c r="H503" s="214"/>
      <c r="J503" s="41"/>
    </row>
    <row r="504" spans="1:10" hidden="1">
      <c r="A504" s="233">
        <v>43196</v>
      </c>
      <c r="B504" s="213"/>
      <c r="C504" s="213"/>
      <c r="D504" s="213"/>
      <c r="E504" s="214"/>
      <c r="F504" s="218">
        <v>2787.36</v>
      </c>
      <c r="G504" s="234">
        <v>-2.46</v>
      </c>
      <c r="H504" s="214"/>
      <c r="J504" s="41"/>
    </row>
    <row r="505" spans="1:10" hidden="1">
      <c r="A505" s="233">
        <v>43203</v>
      </c>
      <c r="B505" s="213"/>
      <c r="C505" s="213"/>
      <c r="D505" s="213"/>
      <c r="E505" s="214"/>
      <c r="F505" s="218">
        <v>2710.03</v>
      </c>
      <c r="G505" s="234">
        <v>-5.66</v>
      </c>
      <c r="H505" s="214"/>
      <c r="J505" s="41"/>
    </row>
    <row r="506" spans="1:10" hidden="1">
      <c r="A506" s="233">
        <v>43210</v>
      </c>
      <c r="B506" s="213"/>
      <c r="C506" s="213"/>
      <c r="D506" s="213"/>
      <c r="E506" s="214"/>
      <c r="F506" s="218">
        <v>2724.47</v>
      </c>
      <c r="G506" s="234">
        <v>-4.62</v>
      </c>
      <c r="H506" s="214"/>
      <c r="J506" s="41"/>
    </row>
    <row r="507" spans="1:10" hidden="1">
      <c r="A507" s="233">
        <v>43217</v>
      </c>
      <c r="B507" s="213"/>
      <c r="C507" s="213"/>
      <c r="D507" s="213"/>
      <c r="E507" s="214"/>
      <c r="F507" s="218">
        <v>2812.83</v>
      </c>
      <c r="G507" s="234">
        <v>-3.94</v>
      </c>
      <c r="H507" s="214"/>
      <c r="J507" s="41"/>
    </row>
    <row r="508" spans="1:10" hidden="1">
      <c r="A508" s="233">
        <v>43224</v>
      </c>
      <c r="B508" s="213"/>
      <c r="C508" s="213"/>
      <c r="D508" s="213"/>
      <c r="E508" s="214"/>
      <c r="F508" s="218">
        <v>2857.85</v>
      </c>
      <c r="G508" s="234">
        <v>-2.4700000000000002</v>
      </c>
      <c r="H508" s="214"/>
      <c r="J508" s="41"/>
    </row>
    <row r="509" spans="1:10" hidden="1">
      <c r="A509" s="233">
        <v>43231</v>
      </c>
      <c r="B509" s="213"/>
      <c r="C509" s="213"/>
      <c r="D509" s="213"/>
      <c r="E509" s="214"/>
      <c r="F509" s="218">
        <v>2822.37</v>
      </c>
      <c r="G509" s="234">
        <v>-4.3099999999999996</v>
      </c>
      <c r="H509" s="214"/>
      <c r="J509" s="41"/>
    </row>
    <row r="510" spans="1:10" hidden="1">
      <c r="A510" s="233">
        <v>43238</v>
      </c>
      <c r="B510" s="213"/>
      <c r="C510" s="213"/>
      <c r="D510" s="213"/>
      <c r="E510" s="214"/>
      <c r="F510" s="218">
        <v>2886.23</v>
      </c>
      <c r="G510" s="234">
        <v>-0.25</v>
      </c>
      <c r="H510" s="214"/>
      <c r="J510" s="41"/>
    </row>
    <row r="511" spans="1:10" hidden="1">
      <c r="A511" s="233">
        <v>43245</v>
      </c>
      <c r="B511" s="213"/>
      <c r="C511" s="213"/>
      <c r="D511" s="213"/>
      <c r="E511" s="214"/>
      <c r="F511" s="218">
        <v>2863.12</v>
      </c>
      <c r="G511" s="234">
        <v>-1.4514902126810059</v>
      </c>
      <c r="H511" s="214"/>
      <c r="J511" s="41"/>
    </row>
    <row r="512" spans="1:10" hidden="1">
      <c r="A512" s="233">
        <v>43252</v>
      </c>
      <c r="B512" s="213"/>
      <c r="C512" s="213"/>
      <c r="D512" s="213"/>
      <c r="E512" s="214"/>
      <c r="F512" s="218">
        <v>2889.32</v>
      </c>
      <c r="G512" s="234">
        <v>-1.08</v>
      </c>
      <c r="H512" s="214"/>
      <c r="J512" s="41"/>
    </row>
    <row r="513" spans="1:10" hidden="1">
      <c r="A513" s="233">
        <v>43259</v>
      </c>
      <c r="B513" s="213"/>
      <c r="C513" s="213"/>
      <c r="D513" s="213"/>
      <c r="E513" s="214"/>
      <c r="F513" s="218">
        <v>2835.78</v>
      </c>
      <c r="G513" s="234">
        <v>-2.4500000000000002</v>
      </c>
      <c r="H513" s="214"/>
      <c r="J513" s="41"/>
    </row>
    <row r="514" spans="1:10" hidden="1">
      <c r="A514" s="233">
        <v>43266</v>
      </c>
      <c r="B514" s="213"/>
      <c r="C514" s="213"/>
      <c r="D514" s="213"/>
      <c r="E514" s="214"/>
      <c r="F514" s="218">
        <v>2859.78</v>
      </c>
      <c r="G514" s="234">
        <v>-2.2200000000000002</v>
      </c>
      <c r="H514" s="214"/>
      <c r="J514" s="41"/>
    </row>
    <row r="515" spans="1:10" hidden="1">
      <c r="A515" s="233">
        <v>43273</v>
      </c>
      <c r="B515" s="213"/>
      <c r="C515" s="213"/>
      <c r="D515" s="213"/>
      <c r="E515" s="214"/>
      <c r="F515" s="218">
        <v>2944.82</v>
      </c>
      <c r="G515" s="234">
        <v>-3.5718261894626568</v>
      </c>
      <c r="H515" s="214"/>
      <c r="J515" s="41"/>
    </row>
    <row r="516" spans="1:10" hidden="1">
      <c r="A516" s="233">
        <v>43280</v>
      </c>
      <c r="B516" s="213"/>
      <c r="C516" s="213"/>
      <c r="D516" s="213"/>
      <c r="E516" s="214"/>
      <c r="F516" s="215">
        <v>2945.09</v>
      </c>
      <c r="G516" s="231">
        <v>-2.6</v>
      </c>
      <c r="H516" s="214"/>
      <c r="J516" s="41"/>
    </row>
    <row r="517" spans="1:10" hidden="1">
      <c r="A517" s="233">
        <v>43287</v>
      </c>
      <c r="B517" s="213"/>
      <c r="C517" s="213"/>
      <c r="D517" s="213"/>
      <c r="E517" s="214"/>
      <c r="F517" s="215">
        <v>2885.53</v>
      </c>
      <c r="G517" s="231">
        <v>-5.98</v>
      </c>
      <c r="H517" s="214"/>
      <c r="J517" s="41"/>
    </row>
    <row r="518" spans="1:10" hidden="1">
      <c r="A518" s="233">
        <v>43294</v>
      </c>
      <c r="B518" s="213"/>
      <c r="C518" s="213"/>
      <c r="D518" s="213"/>
      <c r="E518" s="214"/>
      <c r="F518" s="215">
        <v>2882.02</v>
      </c>
      <c r="G518" s="231">
        <v>-5.58</v>
      </c>
      <c r="H518" s="214"/>
      <c r="J518" s="41"/>
    </row>
    <row r="519" spans="1:10" hidden="1">
      <c r="A519" s="233">
        <v>43301</v>
      </c>
      <c r="B519" s="213"/>
      <c r="C519" s="213"/>
      <c r="D519" s="213"/>
      <c r="E519" s="214"/>
      <c r="F519" s="215">
        <v>2883.81</v>
      </c>
      <c r="G519" s="231">
        <v>-4.1900000000000004</v>
      </c>
      <c r="H519" s="214"/>
      <c r="J519" s="41"/>
    </row>
    <row r="520" spans="1:10" hidden="1">
      <c r="A520" s="233">
        <v>43308</v>
      </c>
      <c r="B520" s="213"/>
      <c r="C520" s="213"/>
      <c r="D520" s="213"/>
      <c r="E520" s="214"/>
      <c r="F520" s="215">
        <v>2886.21</v>
      </c>
      <c r="G520" s="231">
        <v>-4.63</v>
      </c>
      <c r="H520" s="214"/>
      <c r="J520" s="41"/>
    </row>
    <row r="521" spans="1:10" hidden="1">
      <c r="A521" s="233">
        <v>43315</v>
      </c>
      <c r="B521" s="213"/>
      <c r="C521" s="213"/>
      <c r="D521" s="213"/>
      <c r="E521" s="214"/>
      <c r="F521" s="215">
        <v>2904.9</v>
      </c>
      <c r="G521" s="231">
        <v>-2.02</v>
      </c>
      <c r="H521" s="214"/>
      <c r="J521" s="41"/>
    </row>
    <row r="522" spans="1:10" hidden="1">
      <c r="A522" s="233">
        <v>43322</v>
      </c>
      <c r="B522" s="213"/>
      <c r="C522" s="213"/>
      <c r="D522" s="213"/>
      <c r="E522" s="214"/>
      <c r="F522" s="215">
        <v>2919.44</v>
      </c>
      <c r="G522" s="231">
        <v>-3.05</v>
      </c>
      <c r="H522" s="214"/>
      <c r="J522" s="41"/>
    </row>
    <row r="523" spans="1:10" hidden="1">
      <c r="A523" s="233">
        <v>43329</v>
      </c>
      <c r="B523" s="213"/>
      <c r="C523" s="213"/>
      <c r="D523" s="213"/>
      <c r="E523" s="214"/>
      <c r="F523" s="215">
        <v>3019.55</v>
      </c>
      <c r="G523" s="231">
        <v>1.76</v>
      </c>
      <c r="H523" s="214"/>
      <c r="J523" s="41"/>
    </row>
    <row r="524" spans="1:10" hidden="1">
      <c r="A524" s="233">
        <v>43336</v>
      </c>
      <c r="B524" s="213"/>
      <c r="C524" s="213"/>
      <c r="D524" s="213"/>
      <c r="E524" s="214"/>
      <c r="F524" s="215">
        <v>2980.64</v>
      </c>
      <c r="G524" s="231">
        <v>-0.21</v>
      </c>
      <c r="H524" s="214"/>
      <c r="J524" s="41"/>
    </row>
    <row r="525" spans="1:10" hidden="1">
      <c r="A525" s="233">
        <v>43343</v>
      </c>
      <c r="B525" s="213"/>
      <c r="C525" s="213"/>
      <c r="D525" s="213"/>
      <c r="E525" s="214"/>
      <c r="F525" s="215">
        <v>3027.39</v>
      </c>
      <c r="G525" s="231">
        <v>3.07</v>
      </c>
      <c r="H525" s="214"/>
      <c r="J525" s="41"/>
    </row>
    <row r="526" spans="1:10" hidden="1">
      <c r="A526" s="233">
        <v>43350</v>
      </c>
      <c r="B526" s="213"/>
      <c r="C526" s="213"/>
      <c r="D526" s="213"/>
      <c r="E526" s="214"/>
      <c r="F526" s="215">
        <v>3089.47</v>
      </c>
      <c r="G526" s="231">
        <v>5.82</v>
      </c>
      <c r="H526" s="214"/>
      <c r="J526" s="41"/>
    </row>
    <row r="527" spans="1:10" hidden="1">
      <c r="A527" s="233">
        <v>43357</v>
      </c>
      <c r="B527" s="213"/>
      <c r="C527" s="213"/>
      <c r="D527" s="213"/>
      <c r="E527" s="214"/>
      <c r="F527" s="215">
        <v>3019.38</v>
      </c>
      <c r="G527" s="231">
        <v>3.78</v>
      </c>
      <c r="H527" s="214"/>
      <c r="J527" s="41"/>
    </row>
    <row r="528" spans="1:10" hidden="1">
      <c r="A528" s="233">
        <v>43364</v>
      </c>
      <c r="B528" s="213"/>
      <c r="C528" s="213"/>
      <c r="D528" s="213"/>
      <c r="E528" s="214"/>
      <c r="F528" s="215">
        <v>3014.18</v>
      </c>
      <c r="G528" s="231">
        <v>4.18</v>
      </c>
      <c r="H528" s="214"/>
      <c r="J528" s="41"/>
    </row>
    <row r="529" spans="1:10" hidden="1">
      <c r="A529" s="233">
        <v>43371</v>
      </c>
      <c r="B529" s="213"/>
      <c r="C529" s="213"/>
      <c r="D529" s="213"/>
      <c r="E529" s="214"/>
      <c r="F529" s="215">
        <v>2989.58</v>
      </c>
      <c r="G529" s="231">
        <v>1.66</v>
      </c>
      <c r="H529" s="214"/>
      <c r="J529" s="41"/>
    </row>
    <row r="530" spans="1:10" hidden="1">
      <c r="A530" s="233">
        <v>43378</v>
      </c>
      <c r="B530" s="213"/>
      <c r="C530" s="213"/>
      <c r="D530" s="213"/>
      <c r="E530" s="214"/>
      <c r="F530" s="215">
        <v>3028.16</v>
      </c>
      <c r="G530" s="231">
        <v>2.8</v>
      </c>
      <c r="H530" s="214"/>
      <c r="J530" s="41"/>
    </row>
    <row r="531" spans="1:10" hidden="1">
      <c r="A531" s="233">
        <v>43385</v>
      </c>
      <c r="B531" s="213"/>
      <c r="C531" s="213"/>
      <c r="D531" s="213"/>
      <c r="E531" s="214"/>
      <c r="F531" s="215">
        <v>3087.34</v>
      </c>
      <c r="G531" s="231">
        <v>4.5199999999999996</v>
      </c>
      <c r="H531" s="214"/>
      <c r="J531" s="41"/>
    </row>
    <row r="532" spans="1:10" hidden="1">
      <c r="A532" s="233">
        <v>43392</v>
      </c>
      <c r="B532" s="213"/>
      <c r="C532" s="213"/>
      <c r="D532" s="213"/>
      <c r="E532" s="214"/>
      <c r="F532" s="215">
        <v>3088.47</v>
      </c>
      <c r="G532" s="231">
        <v>5.21</v>
      </c>
      <c r="H532" s="214"/>
      <c r="J532" s="41"/>
    </row>
    <row r="533" spans="1:10" hidden="1">
      <c r="A533" s="233">
        <v>43399</v>
      </c>
      <c r="B533" s="213"/>
      <c r="C533" s="213"/>
      <c r="D533" s="213"/>
      <c r="E533" s="214"/>
      <c r="F533" s="215">
        <v>3167.18</v>
      </c>
      <c r="G533" s="231">
        <v>5.95</v>
      </c>
      <c r="H533" s="214"/>
      <c r="J533" s="41"/>
    </row>
    <row r="534" spans="1:10" hidden="1">
      <c r="A534" s="233">
        <v>43406</v>
      </c>
      <c r="B534" s="213"/>
      <c r="C534" s="213"/>
      <c r="D534" s="213"/>
      <c r="E534" s="214"/>
      <c r="F534" s="215">
        <v>3193.8</v>
      </c>
      <c r="G534" s="231">
        <v>5.1100000000000003</v>
      </c>
      <c r="H534" s="214"/>
      <c r="J534" s="41"/>
    </row>
    <row r="535" spans="1:10" hidden="1">
      <c r="A535" s="233">
        <v>43413</v>
      </c>
      <c r="B535" s="213"/>
      <c r="C535" s="213"/>
      <c r="D535" s="213"/>
      <c r="E535" s="214"/>
      <c r="F535" s="215">
        <v>3145.39</v>
      </c>
      <c r="G535" s="231">
        <v>4.2286051335749919</v>
      </c>
      <c r="H535" s="214"/>
      <c r="J535" s="41"/>
    </row>
    <row r="536" spans="1:10" hidden="1">
      <c r="A536" s="233">
        <v>43420</v>
      </c>
      <c r="B536" s="213"/>
      <c r="C536" s="213"/>
      <c r="D536" s="213"/>
      <c r="E536" s="214"/>
      <c r="F536" s="215">
        <v>3198.29</v>
      </c>
      <c r="G536" s="231">
        <v>5.77</v>
      </c>
      <c r="H536" s="214"/>
      <c r="J536" s="41"/>
    </row>
    <row r="537" spans="1:10" hidden="1">
      <c r="A537" s="233">
        <v>43427</v>
      </c>
      <c r="B537" s="213"/>
      <c r="C537" s="213"/>
      <c r="D537" s="213"/>
      <c r="E537" s="214"/>
      <c r="F537" s="215">
        <v>3196.26</v>
      </c>
      <c r="G537" s="231">
        <v>7.16</v>
      </c>
      <c r="H537" s="214"/>
      <c r="J537" s="41"/>
    </row>
    <row r="538" spans="1:10" hidden="1">
      <c r="A538" s="233">
        <v>43434</v>
      </c>
      <c r="B538" s="213"/>
      <c r="C538" s="213"/>
      <c r="D538" s="213"/>
      <c r="E538" s="214"/>
      <c r="F538" s="215">
        <v>3240.02</v>
      </c>
      <c r="G538" s="231">
        <v>7.78</v>
      </c>
      <c r="H538" s="214"/>
      <c r="J538" s="41"/>
    </row>
    <row r="539" spans="1:10" hidden="1">
      <c r="A539" s="233">
        <v>43441</v>
      </c>
      <c r="B539" s="213"/>
      <c r="C539" s="213"/>
      <c r="D539" s="213"/>
      <c r="E539" s="214"/>
      <c r="F539" s="215">
        <v>3187.86</v>
      </c>
      <c r="G539" s="231">
        <v>6.01</v>
      </c>
      <c r="H539" s="214"/>
      <c r="J539" s="41"/>
    </row>
    <row r="540" spans="1:10" hidden="1">
      <c r="A540" s="233">
        <v>43448</v>
      </c>
      <c r="B540" s="213"/>
      <c r="C540" s="213"/>
      <c r="D540" s="213"/>
      <c r="E540" s="214"/>
      <c r="F540" s="215">
        <v>3178.4</v>
      </c>
      <c r="G540" s="231">
        <v>5.4052351089901585</v>
      </c>
      <c r="H540" s="214"/>
      <c r="J540" s="41"/>
    </row>
    <row r="541" spans="1:10" hidden="1">
      <c r="A541" s="233">
        <v>43455</v>
      </c>
      <c r="B541" s="213"/>
      <c r="C541" s="213"/>
      <c r="D541" s="213"/>
      <c r="E541" s="214"/>
      <c r="F541" s="215">
        <v>3246.86</v>
      </c>
      <c r="G541" s="231">
        <v>9.48</v>
      </c>
      <c r="H541" s="214"/>
      <c r="J541" s="41"/>
    </row>
    <row r="542" spans="1:10" hidden="1">
      <c r="A542" s="233">
        <v>43462</v>
      </c>
      <c r="B542" s="213"/>
      <c r="C542" s="213"/>
      <c r="D542" s="213"/>
      <c r="E542" s="214"/>
      <c r="F542" s="215">
        <v>3275.01</v>
      </c>
      <c r="G542" s="231">
        <v>10.210000000000001</v>
      </c>
      <c r="H542" s="214"/>
      <c r="J542" s="41"/>
    </row>
    <row r="543" spans="1:10" hidden="1">
      <c r="A543" s="233">
        <v>43469</v>
      </c>
      <c r="B543" s="213"/>
      <c r="C543" s="213"/>
      <c r="D543" s="213"/>
      <c r="E543" s="214"/>
      <c r="F543" s="215">
        <v>3241.2</v>
      </c>
      <c r="G543" s="231">
        <v>11.43</v>
      </c>
      <c r="H543" s="214"/>
      <c r="J543" s="41"/>
    </row>
    <row r="544" spans="1:10" hidden="1">
      <c r="A544" s="233">
        <v>43476</v>
      </c>
      <c r="B544" s="213"/>
      <c r="C544" s="213"/>
      <c r="D544" s="213"/>
      <c r="E544" s="214"/>
      <c r="F544" s="215">
        <v>3136.49</v>
      </c>
      <c r="G544" s="231">
        <v>8.32</v>
      </c>
      <c r="H544" s="214"/>
      <c r="J544" s="41"/>
    </row>
    <row r="545" spans="1:10" hidden="1">
      <c r="A545" s="233">
        <v>43483</v>
      </c>
      <c r="B545" s="213"/>
      <c r="C545" s="213"/>
      <c r="D545" s="213"/>
      <c r="E545" s="214"/>
      <c r="F545" s="215">
        <v>3140.19</v>
      </c>
      <c r="G545" s="231">
        <v>10.14</v>
      </c>
      <c r="H545" s="214"/>
      <c r="J545" s="41"/>
    </row>
    <row r="546" spans="1:10" hidden="1">
      <c r="A546" s="233">
        <v>43490</v>
      </c>
      <c r="B546" s="213"/>
      <c r="C546" s="213"/>
      <c r="D546" s="213"/>
      <c r="E546" s="214"/>
      <c r="F546" s="215">
        <v>3160.52</v>
      </c>
      <c r="G546" s="231">
        <v>12.05</v>
      </c>
      <c r="H546" s="214"/>
      <c r="J546" s="41"/>
    </row>
    <row r="547" spans="1:10" hidden="1">
      <c r="A547" s="233">
        <v>43497</v>
      </c>
      <c r="B547" s="213"/>
      <c r="C547" s="213"/>
      <c r="D547" s="213"/>
      <c r="E547" s="214"/>
      <c r="F547" s="215">
        <v>3115.7</v>
      </c>
      <c r="G547" s="231">
        <v>9.9</v>
      </c>
      <c r="H547" s="214"/>
      <c r="J547" s="41"/>
    </row>
    <row r="548" spans="1:10" hidden="1">
      <c r="A548" s="233">
        <v>43504</v>
      </c>
      <c r="B548" s="213"/>
      <c r="C548" s="213"/>
      <c r="D548" s="213"/>
      <c r="E548" s="214"/>
      <c r="F548" s="215">
        <v>3110.46</v>
      </c>
      <c r="G548" s="231">
        <v>9.8800000000000008</v>
      </c>
      <c r="H548" s="214"/>
      <c r="J548" s="41"/>
    </row>
    <row r="549" spans="1:10" hidden="1">
      <c r="A549" s="233">
        <v>43511</v>
      </c>
      <c r="B549" s="213"/>
      <c r="C549" s="213"/>
      <c r="D549" s="213"/>
      <c r="E549" s="214"/>
      <c r="F549" s="215">
        <v>3155.27</v>
      </c>
      <c r="G549" s="231">
        <v>8.9600000000000009</v>
      </c>
      <c r="H549" s="214"/>
      <c r="J549" s="41"/>
    </row>
    <row r="550" spans="1:10" hidden="1">
      <c r="A550" s="233">
        <v>43518</v>
      </c>
      <c r="B550" s="213"/>
      <c r="C550" s="213"/>
      <c r="D550" s="213"/>
      <c r="E550" s="214"/>
      <c r="F550" s="215">
        <v>3119.42</v>
      </c>
      <c r="G550" s="231">
        <v>8.39</v>
      </c>
      <c r="H550" s="214"/>
      <c r="J550" s="41"/>
    </row>
    <row r="551" spans="1:10" hidden="1">
      <c r="A551" s="233">
        <v>43525</v>
      </c>
      <c r="B551" s="213"/>
      <c r="C551" s="213"/>
      <c r="D551" s="213"/>
      <c r="E551" s="214"/>
      <c r="F551" s="215">
        <v>3077.35</v>
      </c>
      <c r="G551" s="231">
        <v>7.3</v>
      </c>
      <c r="H551" s="214"/>
      <c r="J551" s="41"/>
    </row>
    <row r="552" spans="1:10" hidden="1">
      <c r="A552" s="233">
        <v>43532</v>
      </c>
      <c r="B552" s="213"/>
      <c r="C552" s="213"/>
      <c r="D552" s="213"/>
      <c r="E552" s="214"/>
      <c r="F552" s="215">
        <v>3120.04</v>
      </c>
      <c r="G552" s="231">
        <v>9.14</v>
      </c>
      <c r="H552" s="214"/>
      <c r="J552" s="41"/>
    </row>
    <row r="553" spans="1:10" hidden="1">
      <c r="A553" s="233">
        <v>43539</v>
      </c>
      <c r="B553" s="213"/>
      <c r="C553" s="213"/>
      <c r="D553" s="213"/>
      <c r="E553" s="214"/>
      <c r="F553" s="215">
        <v>3144.42</v>
      </c>
      <c r="G553" s="231">
        <v>10.49</v>
      </c>
      <c r="H553" s="214"/>
      <c r="J553" s="41"/>
    </row>
    <row r="554" spans="1:10" hidden="1">
      <c r="A554" s="233">
        <v>43546</v>
      </c>
      <c r="B554" s="213"/>
      <c r="C554" s="213"/>
      <c r="D554" s="213"/>
      <c r="E554" s="214"/>
      <c r="F554" s="215">
        <v>3082.45</v>
      </c>
      <c r="G554" s="231">
        <v>8.1300000000000008</v>
      </c>
      <c r="H554" s="214"/>
      <c r="J554" s="41"/>
    </row>
    <row r="555" spans="1:10" hidden="1">
      <c r="A555" s="233">
        <v>43553</v>
      </c>
      <c r="B555" s="213"/>
      <c r="C555" s="213"/>
      <c r="D555" s="213"/>
      <c r="E555" s="214"/>
      <c r="F555" s="215">
        <v>3190.94</v>
      </c>
      <c r="G555" s="231">
        <v>14.76</v>
      </c>
      <c r="H555" s="214"/>
      <c r="J555" s="41"/>
    </row>
    <row r="556" spans="1:10" hidden="1">
      <c r="A556" s="233">
        <v>43560</v>
      </c>
      <c r="B556" s="213"/>
      <c r="C556" s="213"/>
      <c r="D556" s="213"/>
      <c r="E556" s="214"/>
      <c r="F556" s="215">
        <v>3132.78</v>
      </c>
      <c r="G556" s="231">
        <v>12.22</v>
      </c>
      <c r="H556" s="214"/>
      <c r="J556" s="41"/>
    </row>
    <row r="557" spans="1:10" hidden="1">
      <c r="A557" s="233">
        <v>43567</v>
      </c>
      <c r="B557" s="213"/>
      <c r="C557" s="213"/>
      <c r="D557" s="213"/>
      <c r="E557" s="214"/>
      <c r="F557" s="215">
        <v>3113.91</v>
      </c>
      <c r="G557" s="231">
        <v>13.93</v>
      </c>
      <c r="H557" s="214"/>
      <c r="J557" s="41"/>
    </row>
    <row r="558" spans="1:10" hidden="1">
      <c r="A558" s="233">
        <v>43574</v>
      </c>
      <c r="B558" s="213"/>
      <c r="C558" s="213"/>
      <c r="D558" s="213"/>
      <c r="E558" s="214"/>
      <c r="F558" s="215">
        <v>3160.48</v>
      </c>
      <c r="G558" s="231">
        <v>16.809999999999999</v>
      </c>
      <c r="H558" s="214"/>
      <c r="J558" s="41"/>
    </row>
    <row r="559" spans="1:10" hidden="1">
      <c r="A559" s="233">
        <v>43581</v>
      </c>
      <c r="B559" s="213"/>
      <c r="C559" s="213"/>
      <c r="D559" s="213"/>
      <c r="E559" s="214"/>
      <c r="F559" s="215">
        <v>3237.98</v>
      </c>
      <c r="G559" s="231">
        <v>14.81</v>
      </c>
      <c r="H559" s="214"/>
      <c r="J559" s="41"/>
    </row>
    <row r="560" spans="1:10" hidden="1">
      <c r="A560" s="233">
        <v>43588</v>
      </c>
      <c r="B560" s="213"/>
      <c r="C560" s="213"/>
      <c r="D560" s="213"/>
      <c r="E560" s="214"/>
      <c r="F560" s="215">
        <v>3262.17</v>
      </c>
      <c r="G560" s="231">
        <v>15.19</v>
      </c>
      <c r="H560" s="214"/>
      <c r="J560" s="41"/>
    </row>
    <row r="561" spans="1:10" hidden="1">
      <c r="A561" s="233">
        <v>43595</v>
      </c>
      <c r="B561" s="213"/>
      <c r="C561" s="213"/>
      <c r="D561" s="213"/>
      <c r="E561" s="214"/>
      <c r="F561" s="215">
        <v>3293.62</v>
      </c>
      <c r="G561" s="231">
        <v>15.18</v>
      </c>
      <c r="H561" s="214"/>
      <c r="J561" s="41"/>
    </row>
    <row r="562" spans="1:10" hidden="1">
      <c r="A562" s="233">
        <v>43602</v>
      </c>
      <c r="B562" s="213"/>
      <c r="C562" s="213"/>
      <c r="D562" s="213"/>
      <c r="E562" s="214"/>
      <c r="F562" s="215">
        <v>3290.27</v>
      </c>
      <c r="G562" s="231">
        <v>14.83</v>
      </c>
      <c r="H562" s="214"/>
      <c r="J562" s="41"/>
    </row>
    <row r="563" spans="1:10" hidden="1">
      <c r="A563" s="233">
        <v>43609</v>
      </c>
      <c r="B563" s="213"/>
      <c r="C563" s="213"/>
      <c r="D563" s="213"/>
      <c r="E563" s="214"/>
      <c r="F563" s="215">
        <v>3368.76</v>
      </c>
      <c r="G563" s="231">
        <v>17.66</v>
      </c>
      <c r="H563" s="214"/>
      <c r="J563" s="41"/>
    </row>
    <row r="564" spans="1:10" hidden="1">
      <c r="A564" s="233">
        <v>43616</v>
      </c>
      <c r="B564" s="213"/>
      <c r="C564" s="213"/>
      <c r="D564" s="213"/>
      <c r="E564" s="214"/>
      <c r="F564" s="215">
        <v>3357.82</v>
      </c>
      <c r="G564" s="231">
        <v>16.62</v>
      </c>
      <c r="H564" s="214"/>
      <c r="J564" s="41"/>
    </row>
    <row r="565" spans="1:10" hidden="1">
      <c r="A565" s="233">
        <v>43623</v>
      </c>
      <c r="B565" s="213"/>
      <c r="C565" s="213"/>
      <c r="D565" s="213"/>
      <c r="E565" s="214"/>
      <c r="F565" s="215">
        <v>3288.69</v>
      </c>
      <c r="G565" s="231">
        <v>16.27</v>
      </c>
      <c r="H565" s="214"/>
      <c r="J565" s="41"/>
    </row>
    <row r="566" spans="1:10" hidden="1">
      <c r="A566" s="233">
        <v>43630</v>
      </c>
      <c r="B566" s="213"/>
      <c r="C566" s="213"/>
      <c r="D566" s="213"/>
      <c r="E566" s="214"/>
      <c r="F566" s="215">
        <v>3266.72</v>
      </c>
      <c r="G566" s="231">
        <v>14.25</v>
      </c>
      <c r="H566" s="214"/>
      <c r="J566" s="41"/>
    </row>
    <row r="567" spans="1:10" hidden="1">
      <c r="A567" s="233">
        <v>43637</v>
      </c>
      <c r="B567" s="213"/>
      <c r="C567" s="213"/>
      <c r="D567" s="213"/>
      <c r="E567" s="214"/>
      <c r="F567" s="215">
        <v>3202.01</v>
      </c>
      <c r="G567" s="231">
        <v>9.7899999999999991</v>
      </c>
      <c r="H567" s="214"/>
      <c r="J567" s="41"/>
    </row>
    <row r="568" spans="1:10" hidden="1">
      <c r="A568" s="233">
        <v>43644</v>
      </c>
      <c r="B568" s="213"/>
      <c r="C568" s="213"/>
      <c r="D568" s="213"/>
      <c r="E568" s="214"/>
      <c r="F568" s="215">
        <v>3197.23</v>
      </c>
      <c r="G568" s="231">
        <v>8.94</v>
      </c>
      <c r="H568" s="214"/>
      <c r="J568" s="41"/>
    </row>
    <row r="569" spans="1:10" hidden="1">
      <c r="A569" s="233">
        <v>43651</v>
      </c>
      <c r="B569" s="213"/>
      <c r="C569" s="213"/>
      <c r="D569" s="213"/>
      <c r="E569" s="214"/>
      <c r="F569" s="215">
        <v>3206.92</v>
      </c>
      <c r="G569" s="231">
        <v>10.210000000000001</v>
      </c>
      <c r="H569" s="214"/>
      <c r="J569" s="41"/>
    </row>
    <row r="570" spans="1:10" hidden="1">
      <c r="A570" s="233">
        <v>43658</v>
      </c>
      <c r="B570" s="213"/>
      <c r="C570" s="213"/>
      <c r="D570" s="213"/>
      <c r="E570" s="214"/>
      <c r="F570" s="215">
        <v>3197.5</v>
      </c>
      <c r="G570" s="231">
        <v>11.02</v>
      </c>
      <c r="H570" s="214"/>
      <c r="J570" s="41"/>
    </row>
    <row r="571" spans="1:10" hidden="1">
      <c r="A571" s="233">
        <v>43665</v>
      </c>
      <c r="B571" s="213"/>
      <c r="C571" s="213"/>
      <c r="D571" s="213"/>
      <c r="E571" s="214"/>
      <c r="F571" s="215">
        <v>3183.01</v>
      </c>
      <c r="G571" s="231">
        <v>10.64</v>
      </c>
      <c r="H571" s="214"/>
      <c r="J571" s="41"/>
    </row>
    <row r="572" spans="1:10" hidden="1">
      <c r="A572" s="233">
        <v>43672</v>
      </c>
      <c r="B572" s="213"/>
      <c r="C572" s="213"/>
      <c r="D572" s="213"/>
      <c r="E572" s="214"/>
      <c r="F572" s="215">
        <v>3213.09</v>
      </c>
      <c r="G572" s="231">
        <v>11.46</v>
      </c>
      <c r="H572" s="214"/>
      <c r="J572" s="41"/>
    </row>
    <row r="573" spans="1:10" hidden="1">
      <c r="A573" s="233">
        <v>43679</v>
      </c>
      <c r="B573" s="213"/>
      <c r="C573" s="213"/>
      <c r="D573" s="213"/>
      <c r="E573" s="214"/>
      <c r="F573" s="215">
        <v>3329.23</v>
      </c>
      <c r="G573" s="231">
        <v>15.09</v>
      </c>
      <c r="H573" s="214"/>
      <c r="J573" s="41"/>
    </row>
    <row r="574" spans="1:10" hidden="1">
      <c r="A574" s="233">
        <v>43686</v>
      </c>
      <c r="B574" s="213"/>
      <c r="C574" s="213"/>
      <c r="D574" s="213"/>
      <c r="E574" s="214"/>
      <c r="F574" s="215">
        <v>3394.61</v>
      </c>
      <c r="G574" s="231">
        <v>16.7</v>
      </c>
      <c r="H574" s="214"/>
      <c r="J574" s="41"/>
    </row>
    <row r="575" spans="1:10" hidden="1">
      <c r="A575" s="233">
        <v>43693</v>
      </c>
      <c r="B575" s="213"/>
      <c r="C575" s="213"/>
      <c r="D575" s="213"/>
      <c r="E575" s="214"/>
      <c r="F575" s="215">
        <v>3447.76</v>
      </c>
      <c r="G575" s="231">
        <v>13.16</v>
      </c>
      <c r="H575" s="214"/>
      <c r="J575" s="41"/>
    </row>
    <row r="576" spans="1:10" hidden="1">
      <c r="A576" s="233">
        <v>43700</v>
      </c>
      <c r="B576" s="213"/>
      <c r="C576" s="213"/>
      <c r="D576" s="213"/>
      <c r="E576" s="214"/>
      <c r="F576" s="215">
        <v>3376.99</v>
      </c>
      <c r="G576" s="231">
        <v>13.877826299549811</v>
      </c>
      <c r="H576" s="214"/>
      <c r="J576" s="41"/>
    </row>
    <row r="577" spans="1:10" hidden="1">
      <c r="A577" s="233">
        <v>43707</v>
      </c>
      <c r="B577" s="213"/>
      <c r="C577" s="213"/>
      <c r="D577" s="213"/>
      <c r="E577" s="214"/>
      <c r="F577" s="215">
        <v>3464.15</v>
      </c>
      <c r="G577" s="231">
        <v>15.49</v>
      </c>
      <c r="H577" s="214"/>
      <c r="J577" s="41"/>
    </row>
    <row r="578" spans="1:10" hidden="1">
      <c r="A578" s="233">
        <v>43714</v>
      </c>
      <c r="B578" s="213"/>
      <c r="C578" s="213"/>
      <c r="D578" s="213"/>
      <c r="E578" s="214"/>
      <c r="F578" s="215">
        <v>3377.39</v>
      </c>
      <c r="G578" s="231">
        <v>8.94</v>
      </c>
      <c r="H578" s="214"/>
      <c r="J578" s="41"/>
    </row>
    <row r="579" spans="1:10" hidden="1">
      <c r="A579" s="233">
        <v>43721</v>
      </c>
      <c r="B579" s="213"/>
      <c r="C579" s="213"/>
      <c r="D579" s="213"/>
      <c r="E579" s="214"/>
      <c r="F579" s="215">
        <v>3359.2</v>
      </c>
      <c r="G579" s="231">
        <v>9.9600000000000009</v>
      </c>
      <c r="H579" s="214"/>
      <c r="J579" s="41"/>
    </row>
    <row r="580" spans="1:10" hidden="1">
      <c r="A580" s="233">
        <v>43728</v>
      </c>
      <c r="B580" s="213"/>
      <c r="C580" s="213"/>
      <c r="D580" s="213"/>
      <c r="E580" s="214"/>
      <c r="F580" s="215">
        <v>3377.72</v>
      </c>
      <c r="G580" s="231">
        <v>11.9</v>
      </c>
      <c r="H580" s="214"/>
      <c r="J580" s="41"/>
    </row>
    <row r="581" spans="1:10" hidden="1">
      <c r="A581" s="233">
        <v>43735</v>
      </c>
      <c r="B581" s="213"/>
      <c r="C581" s="213"/>
      <c r="D581" s="213"/>
      <c r="E581" s="214"/>
      <c r="F581" s="215">
        <v>3435.71</v>
      </c>
      <c r="G581" s="231">
        <v>14.52</v>
      </c>
      <c r="H581" s="214"/>
      <c r="J581" s="41"/>
    </row>
    <row r="582" spans="1:10" hidden="1">
      <c r="A582" s="233">
        <v>43742</v>
      </c>
      <c r="B582" s="213"/>
      <c r="C582" s="213"/>
      <c r="D582" s="213"/>
      <c r="E582" s="214"/>
      <c r="F582" s="215">
        <v>3467.6</v>
      </c>
      <c r="G582" s="231">
        <v>15.1</v>
      </c>
      <c r="H582" s="214"/>
      <c r="J582" s="41"/>
    </row>
    <row r="583" spans="1:10" hidden="1">
      <c r="A583" s="233">
        <v>43749</v>
      </c>
      <c r="B583" s="213"/>
      <c r="C583" s="213"/>
      <c r="D583" s="213"/>
      <c r="E583" s="214"/>
      <c r="F583" s="215">
        <v>3458.42</v>
      </c>
      <c r="G583" s="231">
        <v>11.91</v>
      </c>
      <c r="H583" s="214"/>
      <c r="J583" s="41"/>
    </row>
    <row r="584" spans="1:10" hidden="1">
      <c r="A584" s="233">
        <v>43756</v>
      </c>
      <c r="B584" s="213"/>
      <c r="C584" s="213"/>
      <c r="D584" s="213"/>
      <c r="E584" s="214"/>
      <c r="F584" s="215">
        <v>3465.35</v>
      </c>
      <c r="G584" s="231">
        <v>13.38</v>
      </c>
      <c r="H584" s="214"/>
      <c r="J584" s="41"/>
    </row>
    <row r="585" spans="1:10" hidden="1">
      <c r="A585" s="233">
        <v>43763</v>
      </c>
      <c r="B585" s="213"/>
      <c r="C585" s="213"/>
      <c r="D585" s="213"/>
      <c r="E585" s="214"/>
      <c r="F585" s="215">
        <v>3387.72</v>
      </c>
      <c r="G585" s="231">
        <v>7.56</v>
      </c>
      <c r="H585" s="214"/>
      <c r="J585" s="41"/>
    </row>
    <row r="586" spans="1:10" hidden="1">
      <c r="A586" s="233">
        <v>43770</v>
      </c>
      <c r="B586" s="213"/>
      <c r="C586" s="213"/>
      <c r="D586" s="213"/>
      <c r="E586" s="214"/>
      <c r="F586" s="215">
        <v>3383.29</v>
      </c>
      <c r="G586" s="231">
        <v>5.08</v>
      </c>
      <c r="H586" s="214"/>
      <c r="J586" s="41"/>
    </row>
    <row r="587" spans="1:10" hidden="1">
      <c r="A587" s="233">
        <v>43777</v>
      </c>
      <c r="B587" s="213"/>
      <c r="C587" s="213"/>
      <c r="D587" s="213"/>
      <c r="E587" s="214"/>
      <c r="F587" s="215">
        <v>3327.02</v>
      </c>
      <c r="G587" s="231">
        <v>5.95</v>
      </c>
      <c r="H587" s="214"/>
      <c r="J587" s="41"/>
    </row>
    <row r="588" spans="1:10" hidden="1">
      <c r="A588" s="233">
        <v>43784</v>
      </c>
      <c r="B588" s="213"/>
      <c r="C588" s="213"/>
      <c r="D588" s="213"/>
      <c r="E588" s="214"/>
      <c r="F588" s="215">
        <v>3452.67</v>
      </c>
      <c r="G588" s="231">
        <v>8.07</v>
      </c>
      <c r="H588" s="214"/>
      <c r="J588" s="41"/>
    </row>
    <row r="589" spans="1:10" hidden="1">
      <c r="A589" s="233">
        <v>43791</v>
      </c>
      <c r="B589" s="213"/>
      <c r="C589" s="213"/>
      <c r="D589" s="213"/>
      <c r="E589" s="214"/>
      <c r="F589" s="215">
        <v>3440.66</v>
      </c>
      <c r="G589" s="231">
        <v>7.65</v>
      </c>
      <c r="H589" s="214"/>
      <c r="J589" s="41"/>
    </row>
    <row r="590" spans="1:10" hidden="1">
      <c r="A590" s="233">
        <v>43798</v>
      </c>
      <c r="B590" s="213"/>
      <c r="C590" s="213"/>
      <c r="D590" s="213"/>
      <c r="E590" s="214"/>
      <c r="F590" s="215">
        <v>3502.92</v>
      </c>
      <c r="G590" s="231">
        <v>6.9767015730790138</v>
      </c>
      <c r="H590" s="214"/>
      <c r="J590" s="41"/>
    </row>
    <row r="591" spans="1:10" hidden="1">
      <c r="A591" s="233">
        <v>43805</v>
      </c>
      <c r="B591" s="213"/>
      <c r="C591" s="213"/>
      <c r="D591" s="213"/>
      <c r="E591" s="214"/>
      <c r="F591" s="215">
        <v>3459.97</v>
      </c>
      <c r="G591" s="231">
        <v>9.4134314057218162</v>
      </c>
      <c r="H591" s="214"/>
      <c r="J591" s="41"/>
    </row>
    <row r="592" spans="1:10" hidden="1">
      <c r="A592" s="233">
        <v>43812</v>
      </c>
      <c r="B592" s="213"/>
      <c r="C592" s="213"/>
      <c r="D592" s="213"/>
      <c r="E592" s="214"/>
      <c r="F592" s="215">
        <v>3372.23</v>
      </c>
      <c r="G592" s="231">
        <v>6.4</v>
      </c>
      <c r="H592" s="214"/>
      <c r="J592" s="41"/>
    </row>
    <row r="593" spans="1:10" hidden="1">
      <c r="A593" s="233">
        <v>43819</v>
      </c>
      <c r="B593" s="213"/>
      <c r="C593" s="213"/>
      <c r="D593" s="213"/>
      <c r="E593" s="214"/>
      <c r="F593" s="215">
        <v>3322.38</v>
      </c>
      <c r="G593" s="231">
        <v>3.29</v>
      </c>
      <c r="H593" s="214"/>
      <c r="J593" s="41"/>
    </row>
    <row r="594" spans="1:10" hidden="1">
      <c r="A594" s="233">
        <v>43826</v>
      </c>
      <c r="B594" s="213"/>
      <c r="C594" s="213"/>
      <c r="D594" s="213"/>
      <c r="E594" s="214"/>
      <c r="F594" s="215">
        <v>3281.4</v>
      </c>
      <c r="G594" s="231">
        <v>-0.252</v>
      </c>
      <c r="H594" s="214"/>
      <c r="J594" s="41"/>
    </row>
    <row r="595" spans="1:10" hidden="1">
      <c r="A595" s="233">
        <v>43833</v>
      </c>
      <c r="B595" s="213"/>
      <c r="C595" s="213"/>
      <c r="D595" s="213"/>
      <c r="E595" s="214"/>
      <c r="F595" s="215">
        <v>3258.84</v>
      </c>
      <c r="G595" s="231">
        <v>0.27</v>
      </c>
      <c r="H595" s="214"/>
      <c r="J595" s="41"/>
    </row>
    <row r="596" spans="1:10" hidden="1">
      <c r="A596" s="233">
        <v>43840</v>
      </c>
      <c r="B596" s="213"/>
      <c r="C596" s="213"/>
      <c r="D596" s="213"/>
      <c r="E596" s="214"/>
      <c r="F596" s="215">
        <v>3253.89</v>
      </c>
      <c r="G596" s="231">
        <v>4.0199999999999996</v>
      </c>
      <c r="H596" s="214"/>
      <c r="J596" s="41"/>
    </row>
    <row r="597" spans="1:10" hidden="1">
      <c r="A597" s="233">
        <v>43847</v>
      </c>
      <c r="B597" s="213"/>
      <c r="C597" s="213"/>
      <c r="D597" s="213"/>
      <c r="E597" s="214"/>
      <c r="F597" s="215">
        <v>3313.4</v>
      </c>
      <c r="G597" s="231">
        <v>6.03</v>
      </c>
      <c r="H597" s="214"/>
      <c r="J597" s="41"/>
    </row>
    <row r="598" spans="1:10" hidden="1">
      <c r="A598" s="233">
        <v>43854</v>
      </c>
      <c r="B598" s="213"/>
      <c r="C598" s="213"/>
      <c r="D598" s="213"/>
      <c r="E598" s="214"/>
      <c r="F598" s="215">
        <v>3353.76</v>
      </c>
      <c r="G598" s="231">
        <v>6.6</v>
      </c>
      <c r="H598" s="214"/>
      <c r="J598" s="41"/>
    </row>
    <row r="599" spans="1:10" hidden="1">
      <c r="A599" s="233">
        <v>43861</v>
      </c>
      <c r="B599" s="213"/>
      <c r="C599" s="213"/>
      <c r="D599" s="213"/>
      <c r="E599" s="214"/>
      <c r="F599" s="215">
        <v>3411.45</v>
      </c>
      <c r="G599" s="231">
        <v>7.84</v>
      </c>
      <c r="H599" s="214"/>
      <c r="J599" s="41"/>
    </row>
    <row r="600" spans="1:10" hidden="1">
      <c r="A600" s="233">
        <v>43868</v>
      </c>
      <c r="B600" s="213"/>
      <c r="C600" s="213"/>
      <c r="D600" s="213"/>
      <c r="E600" s="214"/>
      <c r="F600" s="215">
        <v>3378.43</v>
      </c>
      <c r="G600" s="231">
        <v>8.68</v>
      </c>
      <c r="H600" s="214"/>
      <c r="J600" s="41"/>
    </row>
    <row r="601" spans="1:10" hidden="1">
      <c r="A601" s="233">
        <v>43875</v>
      </c>
      <c r="B601" s="213"/>
      <c r="C601" s="213"/>
      <c r="D601" s="213"/>
      <c r="E601" s="214"/>
      <c r="F601" s="215">
        <v>3385.11</v>
      </c>
      <c r="G601" s="231">
        <v>7.96</v>
      </c>
      <c r="H601" s="214"/>
      <c r="J601" s="41"/>
    </row>
    <row r="602" spans="1:10" hidden="1">
      <c r="A602" s="233">
        <v>43882</v>
      </c>
      <c r="B602" s="213"/>
      <c r="C602" s="213"/>
      <c r="D602" s="213"/>
      <c r="E602" s="214"/>
      <c r="F602" s="215">
        <v>3403.5</v>
      </c>
      <c r="G602" s="231">
        <v>9.36</v>
      </c>
      <c r="H602" s="214"/>
      <c r="J602" s="41"/>
    </row>
    <row r="603" spans="1:10" hidden="1">
      <c r="A603" s="233">
        <v>43889</v>
      </c>
      <c r="B603" s="213"/>
      <c r="C603" s="213"/>
      <c r="D603" s="213"/>
      <c r="E603" s="214"/>
      <c r="F603" s="215">
        <v>3507.11</v>
      </c>
      <c r="G603" s="231">
        <v>14.16</v>
      </c>
      <c r="H603" s="214"/>
      <c r="J603" s="41"/>
    </row>
    <row r="604" spans="1:10" hidden="1">
      <c r="A604" s="233">
        <v>43896</v>
      </c>
      <c r="B604" s="213"/>
      <c r="C604" s="213"/>
      <c r="D604" s="213"/>
      <c r="E604" s="214"/>
      <c r="F604" s="215">
        <v>3522.41</v>
      </c>
      <c r="G604" s="231">
        <v>13.66</v>
      </c>
      <c r="H604" s="214"/>
      <c r="J604" s="41"/>
    </row>
    <row r="605" spans="1:10" hidden="1">
      <c r="A605" s="233">
        <v>43903</v>
      </c>
      <c r="B605" s="213"/>
      <c r="C605" s="213"/>
      <c r="D605" s="213"/>
      <c r="E605" s="214"/>
      <c r="F605" s="215">
        <v>4034.66</v>
      </c>
      <c r="G605" s="231">
        <v>27.95</v>
      </c>
      <c r="H605" s="214"/>
      <c r="J605" s="41"/>
    </row>
    <row r="606" spans="1:10" hidden="1">
      <c r="A606" s="233">
        <v>43910</v>
      </c>
      <c r="B606" s="213"/>
      <c r="C606" s="213"/>
      <c r="D606" s="213"/>
      <c r="E606" s="214"/>
      <c r="F606" s="215">
        <v>4153.91</v>
      </c>
      <c r="G606" s="231">
        <v>34.196660194676596</v>
      </c>
      <c r="H606" s="214"/>
      <c r="J606" s="41"/>
    </row>
    <row r="607" spans="1:10" hidden="1">
      <c r="A607" s="233">
        <v>43917</v>
      </c>
      <c r="B607" s="213"/>
      <c r="C607" s="213"/>
      <c r="D607" s="213"/>
      <c r="E607" s="214"/>
      <c r="F607" s="215">
        <v>3995.83</v>
      </c>
      <c r="G607" s="231">
        <v>27.03</v>
      </c>
      <c r="H607" s="214"/>
      <c r="J607" s="41"/>
    </row>
    <row r="608" spans="1:10" hidden="1">
      <c r="A608" s="233">
        <v>43924</v>
      </c>
      <c r="B608" s="213"/>
      <c r="C608" s="213"/>
      <c r="D608" s="213"/>
      <c r="E608" s="214"/>
      <c r="F608" s="215">
        <v>4065.5</v>
      </c>
      <c r="G608" s="231">
        <v>29.336124401913864</v>
      </c>
      <c r="H608" s="214"/>
      <c r="J608" s="41"/>
    </row>
    <row r="609" spans="1:10" hidden="1">
      <c r="A609" s="233">
        <v>43931</v>
      </c>
      <c r="B609" s="213"/>
      <c r="C609" s="213"/>
      <c r="D609" s="213"/>
      <c r="E609" s="214"/>
      <c r="F609" s="215">
        <v>3886.79</v>
      </c>
      <c r="G609" s="231">
        <v>25.170359397140295</v>
      </c>
      <c r="H609" s="214"/>
      <c r="J609" s="41"/>
    </row>
    <row r="610" spans="1:10" hidden="1">
      <c r="A610" s="233">
        <v>43938</v>
      </c>
      <c r="B610" s="213"/>
      <c r="C610" s="213"/>
      <c r="D610" s="213"/>
      <c r="E610" s="214"/>
      <c r="F610" s="215">
        <v>3942.92</v>
      </c>
      <c r="G610" s="231" t="s">
        <v>3346</v>
      </c>
      <c r="H610" s="214"/>
      <c r="J610" s="41"/>
    </row>
    <row r="611" spans="1:10" hidden="1">
      <c r="A611" s="233">
        <v>43945</v>
      </c>
      <c r="B611" s="213"/>
      <c r="C611" s="213"/>
      <c r="D611" s="213"/>
      <c r="E611" s="214"/>
      <c r="F611" s="215">
        <v>4020.94</v>
      </c>
      <c r="G611" s="231" t="s">
        <v>3347</v>
      </c>
      <c r="H611" s="214"/>
      <c r="J611" s="41"/>
    </row>
    <row r="612" spans="1:10" hidden="1">
      <c r="A612" s="233">
        <v>43952</v>
      </c>
      <c r="B612" s="213"/>
      <c r="C612" s="213"/>
      <c r="D612" s="213"/>
      <c r="E612" s="214"/>
      <c r="F612" s="215">
        <v>3932.72</v>
      </c>
      <c r="G612" s="231" t="s">
        <v>3348</v>
      </c>
      <c r="H612" s="214"/>
      <c r="J612" s="41"/>
    </row>
    <row r="613" spans="1:10" hidden="1">
      <c r="A613" s="233">
        <v>43959</v>
      </c>
      <c r="B613" s="213"/>
      <c r="C613" s="213"/>
      <c r="D613" s="213"/>
      <c r="E613" s="214"/>
      <c r="F613" s="215">
        <v>3924.54</v>
      </c>
      <c r="G613" s="231">
        <v>19.329999999999998</v>
      </c>
      <c r="H613" s="214"/>
      <c r="J613" s="41"/>
    </row>
    <row r="614" spans="1:10" hidden="1">
      <c r="A614" s="233">
        <v>43966</v>
      </c>
      <c r="B614" s="213"/>
      <c r="C614" s="213"/>
      <c r="D614" s="213"/>
      <c r="E614" s="214"/>
      <c r="F614" s="215">
        <v>3947.79</v>
      </c>
      <c r="G614" s="231">
        <v>20.170000000000002</v>
      </c>
      <c r="H614" s="214"/>
      <c r="J614" s="41"/>
    </row>
    <row r="615" spans="1:10" hidden="1">
      <c r="A615" s="233">
        <v>43973</v>
      </c>
      <c r="B615" s="213"/>
      <c r="C615" s="213"/>
      <c r="D615" s="213"/>
      <c r="E615" s="214"/>
      <c r="F615" s="215">
        <v>3774.25</v>
      </c>
      <c r="G615" s="231">
        <v>12.85</v>
      </c>
      <c r="H615" s="214"/>
      <c r="J615" s="41"/>
    </row>
    <row r="616" spans="1:10" hidden="1">
      <c r="A616" s="233">
        <v>43980</v>
      </c>
      <c r="B616" s="213"/>
      <c r="C616" s="213"/>
      <c r="D616" s="213"/>
      <c r="E616" s="214"/>
      <c r="F616" s="215">
        <v>3723.42</v>
      </c>
      <c r="G616" s="231">
        <v>10.73</v>
      </c>
      <c r="H616" s="214"/>
      <c r="J616" s="41"/>
    </row>
    <row r="617" spans="1:10" hidden="1">
      <c r="A617" s="233">
        <v>43987</v>
      </c>
      <c r="B617" s="213"/>
      <c r="C617" s="213"/>
      <c r="D617" s="213"/>
      <c r="E617" s="214"/>
      <c r="F617" s="215">
        <v>3597.47</v>
      </c>
      <c r="G617" s="231">
        <v>8.8000000000000007</v>
      </c>
      <c r="H617" s="214"/>
      <c r="J617" s="41"/>
    </row>
    <row r="618" spans="1:10" hidden="1">
      <c r="A618" s="233">
        <v>43994</v>
      </c>
      <c r="B618" s="213"/>
      <c r="C618" s="213"/>
      <c r="D618" s="213"/>
      <c r="E618" s="214"/>
      <c r="F618" s="215">
        <v>3746.46</v>
      </c>
      <c r="G618" s="231">
        <v>15.29</v>
      </c>
      <c r="H618" s="214"/>
      <c r="J618" s="41"/>
    </row>
    <row r="619" spans="1:10" hidden="1">
      <c r="A619" s="233">
        <v>44001</v>
      </c>
      <c r="B619" s="213"/>
      <c r="C619" s="213"/>
      <c r="D619" s="213"/>
      <c r="E619" s="214"/>
      <c r="F619" s="215">
        <v>3760.22</v>
      </c>
      <c r="G619" s="231">
        <v>15.17</v>
      </c>
      <c r="H619" s="214"/>
      <c r="J619" s="41"/>
    </row>
    <row r="620" spans="1:10" hidden="1">
      <c r="A620" s="233">
        <v>44008</v>
      </c>
      <c r="B620" s="213"/>
      <c r="C620" s="213"/>
      <c r="D620" s="213"/>
      <c r="E620" s="214"/>
      <c r="F620" s="215">
        <v>3735.93</v>
      </c>
      <c r="G620" s="231">
        <v>17.22</v>
      </c>
      <c r="H620" s="214"/>
      <c r="J620" s="41"/>
    </row>
    <row r="621" spans="1:10" hidden="1">
      <c r="A621" s="233">
        <v>44015</v>
      </c>
      <c r="B621" s="213"/>
      <c r="C621" s="213"/>
      <c r="D621" s="213"/>
      <c r="E621" s="214"/>
      <c r="F621" s="215">
        <v>3660.18</v>
      </c>
      <c r="G621" s="231">
        <v>13.99</v>
      </c>
      <c r="H621" s="214"/>
      <c r="J621" s="41"/>
    </row>
    <row r="622" spans="1:10" hidden="1">
      <c r="A622" s="233">
        <v>44022</v>
      </c>
      <c r="B622" s="213"/>
      <c r="C622" s="213"/>
      <c r="D622" s="213"/>
      <c r="E622" s="214"/>
      <c r="F622" s="215">
        <v>3633.42</v>
      </c>
      <c r="G622" s="231">
        <v>12.71</v>
      </c>
      <c r="H622" s="214"/>
      <c r="J622" s="41"/>
    </row>
    <row r="623" spans="1:10" hidden="1">
      <c r="A623" s="233">
        <v>44029</v>
      </c>
      <c r="B623" s="213"/>
      <c r="C623" s="213"/>
      <c r="D623" s="213"/>
      <c r="E623" s="214"/>
      <c r="F623" s="215">
        <v>3627.86</v>
      </c>
      <c r="G623" s="231">
        <v>13.38</v>
      </c>
      <c r="H623" s="214"/>
      <c r="J623" s="41"/>
    </row>
    <row r="624" spans="1:10" hidden="1">
      <c r="A624" s="233">
        <v>44036</v>
      </c>
      <c r="B624" s="213"/>
      <c r="C624" s="213"/>
      <c r="D624" s="213"/>
      <c r="E624" s="214"/>
      <c r="F624" s="215">
        <v>3660.15</v>
      </c>
      <c r="G624" s="231">
        <v>14.81</v>
      </c>
      <c r="H624" s="214"/>
      <c r="J624" s="41"/>
    </row>
    <row r="625" spans="1:10" hidden="1">
      <c r="A625" s="233">
        <v>44043</v>
      </c>
      <c r="B625" s="213"/>
      <c r="C625" s="213"/>
      <c r="D625" s="213"/>
      <c r="E625" s="214"/>
      <c r="F625" s="215">
        <v>3739.49</v>
      </c>
      <c r="G625" s="231">
        <v>13.43</v>
      </c>
      <c r="H625" s="214"/>
      <c r="J625" s="41"/>
    </row>
    <row r="626" spans="1:10" hidden="1">
      <c r="A626" s="233">
        <v>44050</v>
      </c>
      <c r="B626" s="213"/>
      <c r="C626" s="213"/>
      <c r="D626" s="213"/>
      <c r="E626" s="214"/>
      <c r="F626" s="215">
        <v>3769.67</v>
      </c>
      <c r="G626" s="231">
        <v>9.86</v>
      </c>
      <c r="H626" s="214"/>
      <c r="J626" s="41"/>
    </row>
    <row r="627" spans="1:10" hidden="1">
      <c r="A627" s="233">
        <v>44057</v>
      </c>
      <c r="B627" s="213"/>
      <c r="C627" s="213"/>
      <c r="D627" s="213"/>
      <c r="E627" s="214"/>
      <c r="F627" s="215">
        <v>3767.05</v>
      </c>
      <c r="G627" s="231">
        <v>10.54</v>
      </c>
      <c r="H627" s="214"/>
      <c r="J627" s="41"/>
    </row>
    <row r="628" spans="1:10" hidden="1">
      <c r="A628" s="233">
        <v>44064</v>
      </c>
      <c r="B628" s="213"/>
      <c r="C628" s="213"/>
      <c r="D628" s="213"/>
      <c r="E628" s="214"/>
      <c r="F628" s="215">
        <v>3792.13</v>
      </c>
      <c r="G628" s="231">
        <v>10.85</v>
      </c>
      <c r="H628" s="214"/>
      <c r="J628" s="41"/>
    </row>
    <row r="629" spans="1:10" hidden="1">
      <c r="A629" s="233">
        <v>44071</v>
      </c>
      <c r="B629" s="213"/>
      <c r="C629" s="213"/>
      <c r="D629" s="213"/>
      <c r="E629" s="214"/>
      <c r="F629" s="215">
        <v>3820.17</v>
      </c>
      <c r="G629" s="231">
        <v>10.48</v>
      </c>
      <c r="H629" s="214"/>
      <c r="J629" s="41"/>
    </row>
    <row r="630" spans="1:10" hidden="1">
      <c r="A630" s="233">
        <v>44078</v>
      </c>
      <c r="B630" s="213"/>
      <c r="C630" s="213"/>
      <c r="D630" s="213"/>
      <c r="E630" s="214"/>
      <c r="F630" s="215">
        <v>3653.23</v>
      </c>
      <c r="G630" s="231">
        <v>6.24</v>
      </c>
      <c r="H630" s="214"/>
      <c r="J630" s="41"/>
    </row>
    <row r="631" spans="1:10" hidden="1">
      <c r="A631" s="233">
        <v>44085</v>
      </c>
      <c r="B631" s="213"/>
      <c r="C631" s="213"/>
      <c r="D631" s="213"/>
      <c r="E631" s="214"/>
      <c r="F631" s="215">
        <v>3700.28</v>
      </c>
      <c r="G631" s="231">
        <v>9.68</v>
      </c>
      <c r="H631" s="214"/>
      <c r="J631" s="41"/>
    </row>
    <row r="632" spans="1:10" hidden="1">
      <c r="A632" s="233">
        <v>44092</v>
      </c>
      <c r="B632" s="213"/>
      <c r="C632" s="213"/>
      <c r="D632" s="213"/>
      <c r="E632" s="214"/>
      <c r="F632" s="215">
        <v>3714.65</v>
      </c>
      <c r="G632" s="231">
        <v>9.8699999999999992</v>
      </c>
      <c r="H632" s="214"/>
      <c r="J632" s="41"/>
    </row>
    <row r="633" spans="1:10" hidden="1">
      <c r="A633" s="233">
        <v>44099</v>
      </c>
      <c r="B633" s="213"/>
      <c r="C633" s="213"/>
      <c r="D633" s="213"/>
      <c r="E633" s="214"/>
      <c r="F633" s="215">
        <v>3873.8</v>
      </c>
      <c r="G633" s="231">
        <v>12.65</v>
      </c>
      <c r="H633" s="214"/>
      <c r="J633" s="41"/>
    </row>
    <row r="634" spans="1:10" hidden="1">
      <c r="A634" s="233">
        <v>44106</v>
      </c>
      <c r="B634" s="213"/>
      <c r="C634" s="213"/>
      <c r="D634" s="213"/>
      <c r="E634" s="214"/>
      <c r="F634" s="215">
        <v>3842.34</v>
      </c>
      <c r="G634" s="231">
        <v>10.06</v>
      </c>
      <c r="H634" s="214"/>
      <c r="J634" s="41"/>
    </row>
    <row r="635" spans="1:10" hidden="1">
      <c r="A635" s="233">
        <v>44113</v>
      </c>
      <c r="B635" s="213"/>
      <c r="C635" s="213"/>
      <c r="D635" s="213"/>
      <c r="E635" s="214"/>
      <c r="F635" s="215">
        <v>3839.73</v>
      </c>
      <c r="G635" s="231">
        <v>11.21</v>
      </c>
      <c r="H635" s="214"/>
      <c r="J635" s="41"/>
    </row>
    <row r="636" spans="1:10" hidden="1">
      <c r="A636" s="233">
        <v>44120</v>
      </c>
      <c r="B636" s="213"/>
      <c r="C636" s="213"/>
      <c r="D636" s="213"/>
      <c r="E636" s="214"/>
      <c r="F636" s="215">
        <v>3854.47</v>
      </c>
      <c r="G636" s="231">
        <v>11.68</v>
      </c>
      <c r="H636" s="214"/>
      <c r="J636" s="41"/>
    </row>
    <row r="637" spans="1:10" hidden="1">
      <c r="A637" s="233">
        <v>44127</v>
      </c>
      <c r="B637" s="213"/>
      <c r="C637" s="213"/>
      <c r="D637" s="213"/>
      <c r="E637" s="214"/>
      <c r="F637" s="215">
        <v>3776.73</v>
      </c>
      <c r="G637" s="231">
        <v>10.1</v>
      </c>
      <c r="H637" s="214"/>
      <c r="J637" s="41"/>
    </row>
    <row r="638" spans="1:10" hidden="1">
      <c r="A638" s="233">
        <v>44134</v>
      </c>
      <c r="B638" s="213"/>
      <c r="C638" s="213"/>
      <c r="D638" s="213"/>
      <c r="E638" s="214"/>
      <c r="F638" s="215">
        <v>3849.53</v>
      </c>
      <c r="G638" s="231">
        <v>13.86</v>
      </c>
      <c r="H638" s="214"/>
      <c r="J638" s="41"/>
    </row>
    <row r="639" spans="1:10" hidden="1">
      <c r="A639" s="233">
        <v>44141</v>
      </c>
      <c r="B639" s="213"/>
      <c r="C639" s="213"/>
      <c r="D639" s="213"/>
      <c r="E639" s="214"/>
      <c r="F639" s="215">
        <v>3763.82</v>
      </c>
      <c r="G639" s="231">
        <v>13.42</v>
      </c>
      <c r="H639" s="214"/>
      <c r="J639" s="41"/>
    </row>
    <row r="640" spans="1:10" hidden="1">
      <c r="A640" s="233">
        <v>44148</v>
      </c>
      <c r="B640" s="213"/>
      <c r="C640" s="213"/>
      <c r="D640" s="213"/>
      <c r="E640" s="214"/>
      <c r="F640" s="215">
        <v>3646.22</v>
      </c>
      <c r="G640" s="231">
        <v>7.74</v>
      </c>
      <c r="H640" s="214"/>
      <c r="J640" s="41"/>
    </row>
    <row r="641" spans="1:10" hidden="1">
      <c r="A641" s="233">
        <v>44155</v>
      </c>
      <c r="B641" s="213"/>
      <c r="C641" s="213"/>
      <c r="D641" s="213"/>
      <c r="E641" s="214"/>
      <c r="F641" s="215">
        <v>3647.1</v>
      </c>
      <c r="G641" s="231">
        <v>6.19</v>
      </c>
      <c r="H641" s="214"/>
      <c r="J641" s="41"/>
    </row>
    <row r="642" spans="1:10" hidden="1">
      <c r="A642" s="233">
        <v>44162</v>
      </c>
      <c r="B642" s="213"/>
      <c r="C642" s="213"/>
      <c r="D642" s="213"/>
      <c r="E642" s="214"/>
      <c r="F642" s="215">
        <v>3620.39</v>
      </c>
      <c r="G642" s="231">
        <v>4.3600000000000003</v>
      </c>
      <c r="H642" s="214"/>
      <c r="J642" s="41"/>
    </row>
    <row r="643" spans="1:10" hidden="1">
      <c r="A643" s="233">
        <v>44169</v>
      </c>
      <c r="B643" s="213"/>
      <c r="C643" s="213"/>
      <c r="D643" s="213"/>
      <c r="E643" s="214"/>
      <c r="F643" s="215">
        <v>3481.44</v>
      </c>
      <c r="G643" s="231">
        <v>-0.72</v>
      </c>
      <c r="H643" s="214"/>
      <c r="J643" s="41"/>
    </row>
    <row r="644" spans="1:10" hidden="1">
      <c r="A644" s="233">
        <v>44176</v>
      </c>
      <c r="B644" s="213"/>
      <c r="C644" s="213"/>
      <c r="D644" s="213"/>
      <c r="E644" s="214"/>
      <c r="F644" s="215">
        <v>3448.89</v>
      </c>
      <c r="G644" s="231">
        <v>0.89</v>
      </c>
      <c r="H644" s="214"/>
      <c r="J644" s="41"/>
    </row>
    <row r="645" spans="1:10" hidden="1">
      <c r="A645" s="233">
        <v>44183</v>
      </c>
      <c r="B645" s="213"/>
      <c r="C645" s="213"/>
      <c r="D645" s="213"/>
      <c r="E645" s="214"/>
      <c r="F645" s="215">
        <v>3410.82</v>
      </c>
      <c r="G645" s="231">
        <v>1.88</v>
      </c>
      <c r="H645" s="214"/>
      <c r="J645" s="41"/>
    </row>
    <row r="646" spans="1:10" hidden="1">
      <c r="A646" s="233">
        <v>44190</v>
      </c>
      <c r="B646" s="213"/>
      <c r="C646" s="213"/>
      <c r="D646" s="213"/>
      <c r="E646" s="214"/>
      <c r="F646" s="215">
        <v>3493.77</v>
      </c>
      <c r="G646" s="231">
        <v>5.68</v>
      </c>
      <c r="H646" s="214"/>
      <c r="J646" s="41"/>
    </row>
    <row r="647" spans="1:10" hidden="1">
      <c r="A647" s="233">
        <v>44197</v>
      </c>
      <c r="B647" s="213"/>
      <c r="C647" s="213"/>
      <c r="D647" s="213"/>
      <c r="E647" s="214"/>
      <c r="F647" s="215">
        <v>3432.5</v>
      </c>
      <c r="G647" s="231">
        <v>4.7407190416033584</v>
      </c>
      <c r="H647" s="214"/>
      <c r="J647" s="41"/>
    </row>
    <row r="648" spans="1:10" hidden="1">
      <c r="A648" s="233">
        <v>44204</v>
      </c>
      <c r="B648" s="213"/>
      <c r="C648" s="213"/>
      <c r="D648" s="213"/>
      <c r="E648" s="214"/>
      <c r="F648" s="215">
        <v>3459.39</v>
      </c>
      <c r="G648" s="231">
        <v>5.9777713785053779</v>
      </c>
      <c r="H648" s="214"/>
      <c r="J648" s="41"/>
    </row>
    <row r="649" spans="1:10" hidden="1">
      <c r="A649" s="233">
        <v>44211</v>
      </c>
      <c r="B649" s="213"/>
      <c r="C649" s="213"/>
      <c r="D649" s="213"/>
      <c r="E649" s="214"/>
      <c r="F649" s="215">
        <v>3469.76</v>
      </c>
      <c r="G649" s="231">
        <v>5.8231137326424376</v>
      </c>
      <c r="H649" s="214"/>
      <c r="J649" s="41"/>
    </row>
    <row r="650" spans="1:10" hidden="1">
      <c r="A650" s="233">
        <v>44218</v>
      </c>
      <c r="B650" s="213"/>
      <c r="C650" s="213"/>
      <c r="D650" s="213"/>
      <c r="E650" s="214"/>
      <c r="F650" s="215">
        <v>3477.48</v>
      </c>
      <c r="G650" s="231">
        <v>3.8701757215695798</v>
      </c>
      <c r="H650" s="214"/>
      <c r="J650" s="41"/>
    </row>
    <row r="651" spans="1:10" hidden="1">
      <c r="A651" s="233">
        <v>44225</v>
      </c>
      <c r="B651" s="213"/>
      <c r="C651" s="213"/>
      <c r="D651" s="213"/>
      <c r="E651" s="214"/>
      <c r="F651" s="215">
        <v>3585.44</v>
      </c>
      <c r="G651" s="231">
        <v>5.68</v>
      </c>
      <c r="H651" s="214"/>
      <c r="J651" s="41"/>
    </row>
    <row r="652" spans="1:10" hidden="1">
      <c r="A652" s="233">
        <v>44232</v>
      </c>
      <c r="B652" s="213"/>
      <c r="C652" s="213"/>
      <c r="D652" s="213"/>
      <c r="E652" s="214"/>
      <c r="F652" s="215">
        <v>3558.63</v>
      </c>
      <c r="G652" s="231">
        <v>5.63</v>
      </c>
      <c r="H652" s="214"/>
      <c r="J652" s="41"/>
    </row>
    <row r="653" spans="1:10" hidden="1">
      <c r="A653" s="233">
        <v>44239</v>
      </c>
      <c r="B653" s="213"/>
      <c r="C653" s="213"/>
      <c r="D653" s="213"/>
      <c r="E653" s="214"/>
      <c r="F653" s="215">
        <v>3525.45</v>
      </c>
      <c r="G653" s="231">
        <v>2.7</v>
      </c>
      <c r="H653" s="214"/>
      <c r="J653" s="41"/>
    </row>
    <row r="654" spans="1:10" hidden="1">
      <c r="A654" s="233">
        <v>44246</v>
      </c>
      <c r="B654" s="213"/>
      <c r="C654" s="213"/>
      <c r="D654" s="213"/>
      <c r="E654" s="214"/>
      <c r="F654" s="215">
        <v>3537.86</v>
      </c>
      <c r="G654" s="231">
        <v>3.74</v>
      </c>
      <c r="H654" s="214"/>
      <c r="J654" s="41"/>
    </row>
    <row r="655" spans="1:10" hidden="1">
      <c r="A655" s="233">
        <v>44253</v>
      </c>
      <c r="B655" s="213"/>
      <c r="C655" s="213"/>
      <c r="D655" s="213"/>
      <c r="E655" s="214"/>
      <c r="F655" s="215">
        <v>3588.23</v>
      </c>
      <c r="G655" s="231">
        <v>4.76</v>
      </c>
      <c r="H655" s="214"/>
      <c r="J655" s="41"/>
    </row>
    <row r="656" spans="1:10" hidden="1">
      <c r="A656" s="233">
        <v>44260</v>
      </c>
      <c r="B656" s="213"/>
      <c r="C656" s="213"/>
      <c r="D656" s="213"/>
      <c r="E656" s="214"/>
      <c r="F656" s="215">
        <v>3647.99</v>
      </c>
      <c r="G656" s="231">
        <v>5.48</v>
      </c>
      <c r="H656" s="214"/>
      <c r="J656" s="41"/>
    </row>
    <row r="657" spans="1:10" hidden="1">
      <c r="A657" s="233">
        <v>44267</v>
      </c>
      <c r="B657" s="213"/>
      <c r="C657" s="213"/>
      <c r="D657" s="213"/>
      <c r="E657" s="214"/>
      <c r="F657" s="215">
        <v>3534.62</v>
      </c>
      <c r="G657" s="231">
        <v>-7.84</v>
      </c>
      <c r="H657" s="214"/>
      <c r="J657" s="41"/>
    </row>
    <row r="658" spans="1:10" hidden="1">
      <c r="A658" s="233">
        <v>44274</v>
      </c>
      <c r="B658" s="213"/>
      <c r="C658" s="213"/>
      <c r="D658" s="213"/>
      <c r="E658" s="214"/>
      <c r="F658" s="215">
        <v>3569.45</v>
      </c>
      <c r="G658" s="231">
        <v>-13.54</v>
      </c>
      <c r="H658" s="214"/>
      <c r="J658" s="41"/>
    </row>
    <row r="659" spans="1:10" hidden="1">
      <c r="A659" s="233">
        <v>44281</v>
      </c>
      <c r="B659" s="213"/>
      <c r="C659" s="213"/>
      <c r="D659" s="213"/>
      <c r="E659" s="214"/>
      <c r="F659" s="215">
        <v>3658.22</v>
      </c>
      <c r="G659" s="231">
        <v>-10.48</v>
      </c>
      <c r="H659" s="214"/>
      <c r="J659" s="41"/>
    </row>
    <row r="660" spans="1:10" hidden="1">
      <c r="A660" s="233">
        <v>44288</v>
      </c>
      <c r="B660" s="213"/>
      <c r="C660" s="213"/>
      <c r="D660" s="213"/>
      <c r="E660" s="214"/>
      <c r="F660" s="215">
        <v>3678.62</v>
      </c>
      <c r="G660" s="231">
        <v>-9.86</v>
      </c>
      <c r="H660" s="214"/>
      <c r="J660" s="41"/>
    </row>
    <row r="661" spans="1:10" hidden="1">
      <c r="A661" s="233">
        <v>44295</v>
      </c>
      <c r="B661" s="213"/>
      <c r="C661" s="213"/>
      <c r="D661" s="213"/>
      <c r="E661" s="214"/>
      <c r="F661" s="215">
        <v>3634.07</v>
      </c>
      <c r="G661" s="231">
        <v>-6.5</v>
      </c>
      <c r="H661" s="214"/>
      <c r="J661" s="41"/>
    </row>
    <row r="662" spans="1:10" hidden="1">
      <c r="A662" s="233">
        <v>44302</v>
      </c>
      <c r="B662" s="213"/>
      <c r="C662" s="213"/>
      <c r="D662" s="213"/>
      <c r="E662" s="214"/>
      <c r="F662" s="215">
        <v>3620.4</v>
      </c>
      <c r="G662" s="231">
        <v>-7.66</v>
      </c>
      <c r="H662" s="214"/>
      <c r="J662" s="41"/>
    </row>
    <row r="663" spans="1:10" hidden="1">
      <c r="A663" s="233">
        <v>44309</v>
      </c>
      <c r="B663" s="213"/>
      <c r="C663" s="213"/>
      <c r="D663" s="213"/>
      <c r="E663" s="214"/>
      <c r="F663" s="215">
        <v>3630.81</v>
      </c>
      <c r="G663" s="231">
        <v>-10.08</v>
      </c>
      <c r="H663" s="214"/>
      <c r="J663" s="41"/>
    </row>
    <row r="664" spans="1:10" hidden="1">
      <c r="A664" s="233">
        <v>44316</v>
      </c>
      <c r="B664" s="213"/>
      <c r="C664" s="213"/>
      <c r="D664" s="213"/>
      <c r="E664" s="214"/>
      <c r="F664" s="215">
        <v>3712.89</v>
      </c>
      <c r="G664" s="231">
        <v>-6.79</v>
      </c>
      <c r="H664" s="214"/>
      <c r="J664" s="41"/>
    </row>
    <row r="665" spans="1:10" hidden="1">
      <c r="A665" s="233">
        <v>44323</v>
      </c>
      <c r="B665" s="213"/>
      <c r="C665" s="213"/>
      <c r="D665" s="213"/>
      <c r="E665" s="214"/>
      <c r="F665" s="215">
        <v>3800.33</v>
      </c>
      <c r="G665" s="231">
        <v>-4.07</v>
      </c>
      <c r="H665" s="214"/>
      <c r="J665" s="41"/>
    </row>
    <row r="666" spans="1:10" hidden="1">
      <c r="A666" s="233">
        <v>44330</v>
      </c>
      <c r="B666" s="213"/>
      <c r="C666" s="213"/>
      <c r="D666" s="213"/>
      <c r="E666" s="214"/>
      <c r="F666" s="215">
        <v>3728.09</v>
      </c>
      <c r="G666" s="231">
        <v>-4.4400000000000004</v>
      </c>
      <c r="H666" s="214"/>
      <c r="J666" s="41"/>
    </row>
    <row r="667" spans="1:10" hidden="1">
      <c r="A667" s="233">
        <v>44337</v>
      </c>
      <c r="B667" s="213"/>
      <c r="C667" s="213"/>
      <c r="D667" s="213"/>
      <c r="E667" s="214"/>
      <c r="F667" s="215">
        <v>3721.57</v>
      </c>
      <c r="G667" s="231">
        <v>-2.17</v>
      </c>
      <c r="H667" s="214"/>
      <c r="J667" s="41"/>
    </row>
    <row r="668" spans="1:10" hidden="1">
      <c r="A668" s="233">
        <v>44344</v>
      </c>
      <c r="B668" s="213"/>
      <c r="C668" s="213"/>
      <c r="D668" s="213"/>
      <c r="E668" s="214"/>
      <c r="F668" s="215">
        <v>3729.02</v>
      </c>
      <c r="G668" s="231">
        <v>-0.39</v>
      </c>
      <c r="H668" s="214"/>
      <c r="J668" s="41"/>
    </row>
    <row r="669" spans="1:10" hidden="1">
      <c r="A669" s="233">
        <v>44351</v>
      </c>
      <c r="B669" s="213"/>
      <c r="C669" s="213"/>
      <c r="D669" s="213"/>
      <c r="E669" s="214"/>
      <c r="F669" s="215">
        <v>3657.41</v>
      </c>
      <c r="G669" s="231">
        <v>1.91</v>
      </c>
      <c r="H669" s="214"/>
      <c r="J669" s="41"/>
    </row>
    <row r="670" spans="1:10" hidden="1">
      <c r="A670" s="233">
        <v>44358</v>
      </c>
      <c r="B670" s="213"/>
      <c r="C670" s="213"/>
      <c r="D670" s="213"/>
      <c r="E670" s="214"/>
      <c r="F670" s="215">
        <v>3589.86</v>
      </c>
      <c r="G670" s="231">
        <v>-2.31</v>
      </c>
      <c r="H670" s="214"/>
      <c r="J670" s="41"/>
    </row>
    <row r="671" spans="1:10" hidden="1">
      <c r="A671" s="233">
        <v>44365</v>
      </c>
      <c r="B671" s="213"/>
      <c r="C671" s="213"/>
      <c r="D671" s="213"/>
      <c r="E671" s="214"/>
      <c r="F671" s="215">
        <v>3730.45</v>
      </c>
      <c r="G671" s="231">
        <v>-0.5</v>
      </c>
      <c r="H671" s="214"/>
      <c r="J671" s="41"/>
    </row>
    <row r="672" spans="1:10" hidden="1">
      <c r="A672" s="233">
        <v>44372</v>
      </c>
      <c r="B672" s="213"/>
      <c r="C672" s="213"/>
      <c r="D672" s="213"/>
      <c r="E672" s="214"/>
      <c r="F672" s="215">
        <v>3770.35</v>
      </c>
      <c r="G672" s="231">
        <v>1.29</v>
      </c>
      <c r="H672" s="214"/>
      <c r="J672" s="41"/>
    </row>
    <row r="673" spans="1:10" hidden="1">
      <c r="A673" s="233">
        <v>44379</v>
      </c>
      <c r="B673" s="213"/>
      <c r="C673" s="213"/>
      <c r="D673" s="213"/>
      <c r="E673" s="214"/>
      <c r="F673" s="215">
        <v>3775.53</v>
      </c>
      <c r="G673" s="231">
        <v>1.39</v>
      </c>
      <c r="H673" s="214"/>
      <c r="J673" s="41"/>
    </row>
    <row r="674" spans="1:10" hidden="1">
      <c r="A674" s="233">
        <v>44386</v>
      </c>
      <c r="B674" s="213"/>
      <c r="C674" s="213"/>
      <c r="D674" s="213"/>
      <c r="E674" s="214"/>
      <c r="F674" s="215">
        <v>3850.46</v>
      </c>
      <c r="G674" s="231">
        <v>6.2</v>
      </c>
      <c r="H674" s="214"/>
      <c r="J674" s="41"/>
    </row>
    <row r="675" spans="1:10" hidden="1">
      <c r="A675" s="233">
        <v>44393</v>
      </c>
      <c r="B675" s="213"/>
      <c r="C675" s="213"/>
      <c r="D675" s="213"/>
      <c r="E675" s="214"/>
      <c r="F675" s="215">
        <v>3809.07</v>
      </c>
      <c r="G675" s="231">
        <v>5.47</v>
      </c>
      <c r="H675" s="214"/>
      <c r="J675" s="41"/>
    </row>
    <row r="676" spans="1:10" hidden="1">
      <c r="A676" s="233">
        <v>44400</v>
      </c>
      <c r="B676" s="213"/>
      <c r="C676" s="213"/>
      <c r="D676" s="213"/>
      <c r="E676" s="214"/>
      <c r="F676" s="215">
        <v>3866.86</v>
      </c>
      <c r="G676" s="231">
        <v>6.6</v>
      </c>
      <c r="H676" s="214"/>
      <c r="J676" s="41"/>
    </row>
    <row r="677" spans="1:10" hidden="1">
      <c r="A677" s="233">
        <v>44407</v>
      </c>
      <c r="B677" s="213"/>
      <c r="C677" s="213"/>
      <c r="D677" s="213"/>
      <c r="E677" s="214"/>
      <c r="F677" s="215">
        <v>3836.95</v>
      </c>
      <c r="G677" s="231">
        <v>3.23</v>
      </c>
      <c r="H677" s="214"/>
      <c r="J677" s="41"/>
    </row>
    <row r="678" spans="1:10" hidden="1">
      <c r="A678" s="233">
        <v>44414</v>
      </c>
      <c r="B678" s="213"/>
      <c r="C678" s="213"/>
      <c r="D678" s="213"/>
      <c r="E678" s="214"/>
      <c r="F678" s="215">
        <v>3910.81</v>
      </c>
      <c r="G678" s="231">
        <v>3.57</v>
      </c>
      <c r="H678" s="214"/>
      <c r="J678" s="41"/>
    </row>
    <row r="679" spans="1:10" hidden="1">
      <c r="A679" s="233">
        <v>44421</v>
      </c>
      <c r="B679" s="213"/>
      <c r="C679" s="213"/>
      <c r="D679" s="213"/>
      <c r="E679" s="214"/>
      <c r="F679" s="215">
        <v>3887.07</v>
      </c>
      <c r="G679" s="231">
        <v>3.5</v>
      </c>
      <c r="H679" s="214"/>
      <c r="J679" s="41"/>
    </row>
    <row r="680" spans="1:10" hidden="1">
      <c r="A680" s="233">
        <v>44428</v>
      </c>
      <c r="B680" s="213"/>
      <c r="C680" s="213"/>
      <c r="D680" s="213"/>
      <c r="E680" s="214"/>
      <c r="F680" s="215">
        <v>3876.08</v>
      </c>
      <c r="G680" s="231">
        <v>2.9</v>
      </c>
      <c r="H680" s="214"/>
      <c r="J680" s="41"/>
    </row>
    <row r="681" spans="1:10" hidden="1">
      <c r="A681" s="233">
        <v>44435</v>
      </c>
      <c r="B681" s="213"/>
      <c r="C681" s="213"/>
      <c r="D681" s="213"/>
      <c r="E681" s="214"/>
      <c r="F681" s="215">
        <v>3870.57</v>
      </c>
      <c r="G681" s="231">
        <v>0.62</v>
      </c>
      <c r="H681" s="214"/>
      <c r="J681" s="41"/>
    </row>
    <row r="682" spans="1:10" hidden="1">
      <c r="A682" s="233">
        <v>44442</v>
      </c>
      <c r="B682" s="213"/>
      <c r="C682" s="213"/>
      <c r="D682" s="213"/>
      <c r="E682" s="214"/>
      <c r="F682" s="215">
        <v>3780.85</v>
      </c>
      <c r="G682" s="231">
        <v>3.48</v>
      </c>
      <c r="H682" s="214"/>
      <c r="J682" s="41"/>
    </row>
    <row r="683" spans="1:10" hidden="1">
      <c r="A683" s="233">
        <v>44449</v>
      </c>
      <c r="B683" s="213"/>
      <c r="C683" s="213"/>
      <c r="D683" s="213"/>
      <c r="E683" s="214"/>
      <c r="F683" s="215">
        <v>3829.72</v>
      </c>
      <c r="G683" s="231">
        <v>3.03</v>
      </c>
      <c r="H683" s="214"/>
      <c r="J683" s="41"/>
    </row>
    <row r="684" spans="1:10" hidden="1">
      <c r="A684" s="233">
        <v>44456</v>
      </c>
      <c r="B684" s="213"/>
      <c r="C684" s="213"/>
      <c r="D684" s="213"/>
      <c r="E684" s="214"/>
      <c r="F684" s="215">
        <v>3818.16</v>
      </c>
      <c r="G684" s="231">
        <v>3.09</v>
      </c>
      <c r="H684" s="214"/>
      <c r="J684" s="41"/>
    </row>
    <row r="685" spans="1:10" hidden="1">
      <c r="A685" s="233">
        <v>44463</v>
      </c>
      <c r="B685" s="213"/>
      <c r="C685" s="213"/>
      <c r="D685" s="213"/>
      <c r="E685" s="214"/>
      <c r="F685" s="215">
        <v>3835.67</v>
      </c>
      <c r="G685" s="231">
        <v>-0.72</v>
      </c>
      <c r="H685" s="214"/>
      <c r="J685" s="41"/>
    </row>
    <row r="686" spans="1:10" hidden="1">
      <c r="A686" s="233">
        <v>44470</v>
      </c>
      <c r="B686" s="213"/>
      <c r="C686" s="213"/>
      <c r="D686" s="213"/>
      <c r="E686" s="214"/>
      <c r="F686" s="215">
        <v>3812.77</v>
      </c>
      <c r="G686" s="231">
        <v>-1.36</v>
      </c>
      <c r="H686" s="214"/>
      <c r="J686" s="41"/>
    </row>
    <row r="687" spans="1:10" hidden="1">
      <c r="A687" s="233">
        <v>44477</v>
      </c>
      <c r="B687" s="213"/>
      <c r="C687" s="213"/>
      <c r="D687" s="213"/>
      <c r="E687" s="214"/>
      <c r="F687" s="215">
        <v>3772.44</v>
      </c>
      <c r="G687" s="231">
        <v>-1.7</v>
      </c>
      <c r="H687" s="214"/>
      <c r="J687" s="41"/>
    </row>
    <row r="688" spans="1:10" hidden="1">
      <c r="A688" s="233">
        <v>44484</v>
      </c>
      <c r="B688" s="213"/>
      <c r="C688" s="213"/>
      <c r="D688" s="213"/>
      <c r="E688" s="214"/>
      <c r="F688" s="215">
        <v>3755.29</v>
      </c>
      <c r="G688" s="231">
        <v>-2.2999999999999998</v>
      </c>
      <c r="H688" s="214"/>
      <c r="J688" s="41"/>
    </row>
    <row r="689" spans="1:10" hidden="1">
      <c r="A689" s="233">
        <v>44491</v>
      </c>
      <c r="B689" s="213"/>
      <c r="C689" s="213"/>
      <c r="D689" s="213"/>
      <c r="E689" s="214"/>
      <c r="F689" s="215">
        <v>3783.3</v>
      </c>
      <c r="G689" s="231">
        <v>-0.03</v>
      </c>
      <c r="H689" s="214"/>
      <c r="J689" s="41"/>
    </row>
    <row r="690" spans="1:10" hidden="1">
      <c r="A690" s="233">
        <v>44498</v>
      </c>
      <c r="B690" s="213"/>
      <c r="C690" s="213"/>
      <c r="D690" s="213"/>
      <c r="E690" s="214"/>
      <c r="F690" s="215">
        <v>3766.1</v>
      </c>
      <c r="G690" s="231">
        <v>-1.96</v>
      </c>
      <c r="H690" s="214"/>
      <c r="J690" s="41"/>
    </row>
    <row r="691" spans="1:10" hidden="1">
      <c r="A691" s="233">
        <v>44505</v>
      </c>
      <c r="B691" s="213"/>
      <c r="C691" s="213"/>
      <c r="D691" s="213"/>
      <c r="E691" s="214"/>
      <c r="F691" s="215">
        <v>3847.4</v>
      </c>
      <c r="G691" s="231">
        <v>1.06</v>
      </c>
      <c r="H691" s="214"/>
      <c r="J691" s="41"/>
    </row>
    <row r="692" spans="1:10" hidden="1">
      <c r="A692" s="233">
        <v>44512</v>
      </c>
      <c r="B692" s="213"/>
      <c r="C692" s="213"/>
      <c r="D692" s="213"/>
      <c r="E692" s="214"/>
      <c r="F692" s="215">
        <v>3875.38</v>
      </c>
      <c r="G692" s="231">
        <v>6.16</v>
      </c>
      <c r="H692" s="214"/>
      <c r="J692" s="41"/>
    </row>
    <row r="693" spans="1:10" hidden="1">
      <c r="A693" s="233">
        <v>44519</v>
      </c>
      <c r="B693" s="213"/>
      <c r="C693" s="213"/>
      <c r="D693" s="213"/>
      <c r="E693" s="214"/>
      <c r="F693" s="215">
        <v>3943.43</v>
      </c>
      <c r="G693" s="231">
        <v>8.11</v>
      </c>
      <c r="H693" s="214"/>
      <c r="J693" s="41"/>
    </row>
    <row r="694" spans="1:10" hidden="1">
      <c r="A694" s="233">
        <v>44526</v>
      </c>
      <c r="B694" s="213"/>
      <c r="C694" s="213"/>
      <c r="D694" s="213"/>
      <c r="E694" s="214"/>
      <c r="F694" s="215">
        <v>3969.49</v>
      </c>
      <c r="G694" s="231">
        <v>9.64</v>
      </c>
      <c r="H694" s="214"/>
      <c r="J694" s="41"/>
    </row>
    <row r="695" spans="1:10" hidden="1">
      <c r="A695" s="233">
        <v>44533</v>
      </c>
      <c r="B695" s="213"/>
      <c r="C695" s="213"/>
      <c r="D695" s="213"/>
      <c r="E695" s="214"/>
      <c r="F695" s="215">
        <v>3945.18</v>
      </c>
      <c r="G695" s="231">
        <v>11.66</v>
      </c>
      <c r="H695" s="214"/>
      <c r="J695" s="41"/>
    </row>
    <row r="696" spans="1:10" hidden="1">
      <c r="A696" s="233">
        <v>44540</v>
      </c>
      <c r="B696" s="213"/>
      <c r="C696" s="213"/>
      <c r="D696" s="213"/>
      <c r="E696" s="214"/>
      <c r="F696" s="215">
        <v>3899.87</v>
      </c>
      <c r="G696" s="231">
        <v>12.53</v>
      </c>
      <c r="H696" s="214"/>
      <c r="J696" s="41"/>
    </row>
    <row r="697" spans="1:10" hidden="1">
      <c r="A697" s="233">
        <v>44547</v>
      </c>
      <c r="B697" s="213"/>
      <c r="C697" s="213"/>
      <c r="D697" s="213"/>
      <c r="E697" s="214"/>
      <c r="F697" s="215">
        <v>4002.97</v>
      </c>
      <c r="G697" s="231">
        <v>17.18</v>
      </c>
      <c r="H697" s="214"/>
      <c r="J697" s="41"/>
    </row>
    <row r="698" spans="1:10" hidden="1">
      <c r="A698" s="233">
        <v>44554</v>
      </c>
      <c r="B698" s="213"/>
      <c r="C698" s="213"/>
      <c r="D698" s="213"/>
      <c r="E698" s="214"/>
      <c r="F698" s="215">
        <v>3997.09</v>
      </c>
      <c r="G698" s="231">
        <v>14.78</v>
      </c>
      <c r="H698" s="214"/>
      <c r="J698" s="41"/>
    </row>
    <row r="699" spans="1:10" hidden="1">
      <c r="A699" s="233">
        <v>44561</v>
      </c>
      <c r="B699" s="213"/>
      <c r="C699" s="213"/>
      <c r="D699" s="213"/>
      <c r="E699" s="214"/>
      <c r="F699" s="215">
        <v>3981.16</v>
      </c>
      <c r="G699" s="231">
        <v>15.984268026219951</v>
      </c>
      <c r="H699" s="214"/>
      <c r="J699" s="41"/>
    </row>
    <row r="700" spans="1:10" hidden="1">
      <c r="A700" s="233">
        <v>44568</v>
      </c>
      <c r="B700" s="213"/>
      <c r="C700" s="213"/>
      <c r="D700" s="213"/>
      <c r="E700" s="214"/>
      <c r="F700" s="215">
        <v>4039.31</v>
      </c>
      <c r="G700" s="231">
        <v>17.831472211526123</v>
      </c>
      <c r="H700" s="214"/>
      <c r="J700" s="41"/>
    </row>
    <row r="701" spans="1:10" hidden="1">
      <c r="A701" s="233">
        <v>44575</v>
      </c>
      <c r="B701" s="213"/>
      <c r="C701" s="213"/>
      <c r="D701" s="213"/>
      <c r="E701" s="214"/>
      <c r="F701" s="215">
        <v>3950.4</v>
      </c>
      <c r="G701" s="231">
        <v>13.57076323324784</v>
      </c>
      <c r="H701" s="214"/>
      <c r="J701" s="41"/>
    </row>
    <row r="702" spans="1:10" hidden="1">
      <c r="A702" s="233">
        <v>44582</v>
      </c>
      <c r="B702" s="213"/>
      <c r="C702" s="213"/>
      <c r="D702" s="213"/>
      <c r="E702" s="214"/>
      <c r="F702" s="215">
        <v>3980.8</v>
      </c>
      <c r="G702" s="231">
        <v>14.516180070709606</v>
      </c>
      <c r="H702" s="214"/>
      <c r="J702" s="41"/>
    </row>
    <row r="703" spans="1:10" hidden="1">
      <c r="A703" s="233">
        <v>44589</v>
      </c>
      <c r="B703" s="213"/>
      <c r="C703" s="213"/>
      <c r="D703" s="213"/>
      <c r="E703" s="214"/>
      <c r="F703" s="215">
        <v>3944.04</v>
      </c>
      <c r="G703" s="231">
        <v>8.44</v>
      </c>
      <c r="H703" s="214"/>
      <c r="J703" s="41"/>
    </row>
    <row r="704" spans="1:10" hidden="1">
      <c r="A704" s="233">
        <v>44596</v>
      </c>
      <c r="B704" s="213"/>
      <c r="C704" s="213"/>
      <c r="D704" s="213"/>
      <c r="E704" s="214"/>
      <c r="F704" s="215">
        <v>3951.96</v>
      </c>
      <c r="G704" s="231">
        <v>12.19</v>
      </c>
      <c r="H704" s="214"/>
      <c r="J704" s="41"/>
    </row>
    <row r="705" spans="1:10" hidden="1">
      <c r="A705" s="233">
        <v>44603</v>
      </c>
      <c r="B705" s="213"/>
      <c r="C705" s="213"/>
      <c r="D705" s="213"/>
      <c r="E705" s="214"/>
      <c r="F705" s="215">
        <v>3917.75</v>
      </c>
      <c r="G705" s="231">
        <v>10.14</v>
      </c>
      <c r="H705" s="214"/>
      <c r="J705" s="41"/>
    </row>
    <row r="706" spans="1:10" hidden="1">
      <c r="A706" s="233">
        <v>44610</v>
      </c>
      <c r="B706" s="213"/>
      <c r="C706" s="213"/>
      <c r="D706" s="213"/>
      <c r="E706" s="214"/>
      <c r="F706" s="215">
        <v>3953.26</v>
      </c>
      <c r="G706" s="231">
        <v>11.490084154953406</v>
      </c>
      <c r="H706" s="214"/>
      <c r="J706" s="41"/>
    </row>
    <row r="707" spans="1:10" hidden="1">
      <c r="A707" s="233">
        <v>44617</v>
      </c>
      <c r="B707" s="213"/>
      <c r="C707" s="213"/>
      <c r="D707" s="213"/>
      <c r="E707" s="214"/>
      <c r="F707" s="215">
        <v>3940.2</v>
      </c>
      <c r="G707" s="231">
        <v>10.11</v>
      </c>
      <c r="H707" s="214"/>
      <c r="J707" s="41"/>
    </row>
    <row r="708" spans="1:10" hidden="1">
      <c r="A708" s="233">
        <v>44624</v>
      </c>
      <c r="B708" s="213"/>
      <c r="C708" s="213"/>
      <c r="D708" s="213"/>
      <c r="E708" s="214"/>
      <c r="F708" s="215">
        <v>3771.77</v>
      </c>
      <c r="G708" s="231">
        <v>2.58</v>
      </c>
      <c r="H708" s="214"/>
      <c r="J708" s="41"/>
    </row>
    <row r="709" spans="1:10" hidden="1">
      <c r="A709" s="233">
        <v>44631</v>
      </c>
      <c r="B709" s="213"/>
      <c r="C709" s="213"/>
      <c r="D709" s="213"/>
      <c r="E709" s="214"/>
      <c r="F709" s="215">
        <v>3786</v>
      </c>
      <c r="G709" s="231">
        <v>6.29</v>
      </c>
      <c r="H709" s="214"/>
      <c r="J709" s="41"/>
    </row>
    <row r="710" spans="1:10" hidden="1">
      <c r="A710" s="233">
        <v>44638</v>
      </c>
      <c r="B710" s="213"/>
      <c r="C710" s="213"/>
      <c r="D710" s="213"/>
      <c r="E710" s="214"/>
      <c r="F710" s="215">
        <v>3816.43</v>
      </c>
      <c r="G710" s="231">
        <v>6.66</v>
      </c>
      <c r="H710" s="214"/>
      <c r="J710" s="41"/>
    </row>
    <row r="711" spans="1:10" hidden="1">
      <c r="A711" s="233">
        <v>44645</v>
      </c>
      <c r="B711" s="213"/>
      <c r="C711" s="213"/>
      <c r="D711" s="213"/>
      <c r="E711" s="214"/>
      <c r="F711" s="215">
        <v>3798.9</v>
      </c>
      <c r="G711" s="231">
        <v>4.51</v>
      </c>
      <c r="H711" s="214"/>
      <c r="J711" s="41"/>
    </row>
    <row r="712" spans="1:10" hidden="1">
      <c r="A712" s="233">
        <v>44652</v>
      </c>
      <c r="B712" s="213"/>
      <c r="C712" s="213"/>
      <c r="D712" s="213"/>
      <c r="E712" s="214"/>
      <c r="F712" s="215">
        <v>3756.03</v>
      </c>
      <c r="G712" s="231">
        <v>2.1</v>
      </c>
      <c r="H712" s="214"/>
      <c r="J712" s="41"/>
    </row>
    <row r="713" spans="1:10" hidden="1">
      <c r="A713" s="233">
        <v>44659</v>
      </c>
      <c r="B713" s="213"/>
      <c r="C713" s="213"/>
      <c r="D713" s="213"/>
      <c r="E713" s="214"/>
      <c r="F713" s="215">
        <v>3771.83</v>
      </c>
      <c r="G713" s="231">
        <v>3.63</v>
      </c>
      <c r="H713" s="214"/>
      <c r="J713" s="41"/>
    </row>
    <row r="714" spans="1:10" hidden="1">
      <c r="A714" s="233">
        <v>44666</v>
      </c>
      <c r="B714" s="213"/>
      <c r="C714" s="213"/>
      <c r="D714" s="213"/>
      <c r="E714" s="214"/>
      <c r="F714" s="215">
        <v>3737.32</v>
      </c>
      <c r="G714" s="231">
        <v>1.96</v>
      </c>
      <c r="H714" s="214"/>
      <c r="J714" s="41"/>
    </row>
    <row r="715" spans="1:10" hidden="1">
      <c r="A715" s="233">
        <v>44673</v>
      </c>
      <c r="B715" s="213"/>
      <c r="C715" s="213"/>
      <c r="D715" s="213"/>
      <c r="E715" s="214"/>
      <c r="F715" s="215">
        <v>3759.54</v>
      </c>
      <c r="G715" s="231">
        <v>3.31</v>
      </c>
      <c r="H715" s="214"/>
      <c r="J715" s="41"/>
    </row>
    <row r="716" spans="1:10" hidden="1">
      <c r="A716" s="233">
        <v>44680</v>
      </c>
      <c r="B716" s="213"/>
      <c r="C716" s="213"/>
      <c r="D716" s="213"/>
      <c r="E716" s="214"/>
      <c r="F716" s="215">
        <v>3984.77</v>
      </c>
      <c r="G716" s="231">
        <v>7.7</v>
      </c>
      <c r="H716" s="214"/>
      <c r="J716" s="41"/>
    </row>
    <row r="717" spans="1:10" hidden="1">
      <c r="A717" s="233">
        <v>44687</v>
      </c>
      <c r="B717" s="213"/>
      <c r="C717" s="213"/>
      <c r="D717" s="213"/>
      <c r="E717" s="214"/>
      <c r="F717" s="215">
        <v>4086.08</v>
      </c>
      <c r="G717" s="231">
        <v>6.23</v>
      </c>
      <c r="H717" s="214"/>
      <c r="J717" s="41"/>
    </row>
    <row r="718" spans="1:10" hidden="1">
      <c r="A718" s="233">
        <v>44694</v>
      </c>
      <c r="B718" s="213"/>
      <c r="C718" s="213"/>
      <c r="D718" s="213"/>
      <c r="E718" s="214"/>
      <c r="F718" s="215">
        <v>4109.71</v>
      </c>
      <c r="G718" s="231">
        <v>10.06</v>
      </c>
      <c r="H718" s="214"/>
      <c r="J718" s="41"/>
    </row>
    <row r="719" spans="1:10" hidden="1">
      <c r="A719" s="233">
        <v>44701</v>
      </c>
      <c r="B719" s="213"/>
      <c r="C719" s="213"/>
      <c r="D719" s="213"/>
      <c r="E719" s="214"/>
      <c r="F719" s="215">
        <v>4050.88</v>
      </c>
      <c r="G719" s="231">
        <v>10</v>
      </c>
      <c r="H719" s="214"/>
      <c r="J719" s="41"/>
    </row>
    <row r="720" spans="1:10" hidden="1">
      <c r="A720" s="233">
        <v>44708</v>
      </c>
      <c r="B720" s="213"/>
      <c r="C720" s="213"/>
      <c r="D720" s="213"/>
      <c r="E720" s="214"/>
      <c r="F720" s="215">
        <v>3930.89</v>
      </c>
      <c r="G720" s="231">
        <v>4.8899999999999997</v>
      </c>
      <c r="H720" s="214"/>
      <c r="J720" s="41"/>
    </row>
    <row r="721" spans="1:10" hidden="1">
      <c r="A721" s="233">
        <v>44715</v>
      </c>
      <c r="B721" s="213"/>
      <c r="C721" s="213"/>
      <c r="D721" s="213"/>
      <c r="E721" s="214"/>
      <c r="F721" s="215">
        <v>3784.98</v>
      </c>
      <c r="G721" s="231">
        <v>3.92</v>
      </c>
      <c r="H721" s="214"/>
      <c r="J721" s="41"/>
    </row>
    <row r="722" spans="1:10" hidden="1">
      <c r="A722" s="233">
        <v>44722</v>
      </c>
      <c r="B722" s="213"/>
      <c r="C722" s="213"/>
      <c r="D722" s="213"/>
      <c r="E722" s="214"/>
      <c r="F722" s="215">
        <v>3833.34</v>
      </c>
      <c r="G722" s="231">
        <v>6.8255857050894431</v>
      </c>
      <c r="H722" s="214"/>
      <c r="J722" s="41"/>
    </row>
    <row r="723" spans="1:10" hidden="1">
      <c r="A723" s="233">
        <v>44729</v>
      </c>
      <c r="B723" s="213"/>
      <c r="C723" s="213"/>
      <c r="D723" s="213"/>
      <c r="E723" s="214"/>
      <c r="F723" s="215">
        <v>3912.15</v>
      </c>
      <c r="G723" s="231">
        <v>6</v>
      </c>
      <c r="H723" s="214"/>
      <c r="J723" s="41"/>
    </row>
    <row r="724" spans="1:10" hidden="1">
      <c r="A724" s="233">
        <v>44736</v>
      </c>
      <c r="B724" s="213"/>
      <c r="C724" s="213"/>
      <c r="D724" s="213"/>
      <c r="E724" s="214"/>
      <c r="F724" s="215">
        <v>4068.75</v>
      </c>
      <c r="G724" s="231">
        <v>7.84</v>
      </c>
      <c r="H724" s="214"/>
      <c r="J724" s="41"/>
    </row>
    <row r="725" spans="1:10" hidden="1">
      <c r="A725" s="233">
        <v>44743</v>
      </c>
      <c r="B725" s="213"/>
      <c r="C725" s="213"/>
      <c r="D725" s="213"/>
      <c r="E725" s="214"/>
      <c r="F725" s="215">
        <v>4151.21</v>
      </c>
      <c r="G725" s="231">
        <v>10.74</v>
      </c>
      <c r="H725" s="214"/>
      <c r="J725" s="41"/>
    </row>
    <row r="726" spans="1:10" hidden="1">
      <c r="A726" s="233">
        <v>44750</v>
      </c>
      <c r="B726" s="213"/>
      <c r="C726" s="213"/>
      <c r="D726" s="213"/>
      <c r="E726" s="214"/>
      <c r="F726" s="215">
        <v>4369.7</v>
      </c>
      <c r="G726" s="231">
        <v>14.53</v>
      </c>
      <c r="H726" s="214"/>
      <c r="J726" s="41"/>
    </row>
    <row r="727" spans="1:10" hidden="1">
      <c r="A727" s="233">
        <v>44757</v>
      </c>
      <c r="B727" s="213"/>
      <c r="C727" s="213"/>
      <c r="D727" s="213"/>
      <c r="E727" s="214"/>
      <c r="F727" s="215">
        <v>4519.6499999999996</v>
      </c>
      <c r="G727" s="231">
        <v>19.059999999999999</v>
      </c>
      <c r="H727" s="214"/>
      <c r="J727" s="41"/>
    </row>
    <row r="728" spans="1:10" hidden="1">
      <c r="A728" s="233">
        <v>44764</v>
      </c>
      <c r="B728" s="213"/>
      <c r="C728" s="213"/>
      <c r="D728" s="213"/>
      <c r="E728" s="214"/>
      <c r="F728" s="215">
        <v>4410.1400000000003</v>
      </c>
      <c r="G728" s="231">
        <v>14.38</v>
      </c>
      <c r="H728" s="214"/>
      <c r="J728" s="41"/>
    </row>
    <row r="729" spans="1:10" hidden="1">
      <c r="A729" s="233">
        <v>44771</v>
      </c>
      <c r="B729" s="213"/>
      <c r="C729" s="213"/>
      <c r="D729" s="213"/>
      <c r="E729" s="214"/>
      <c r="F729" s="215">
        <v>4375.51</v>
      </c>
      <c r="G729" s="231">
        <v>12.13</v>
      </c>
      <c r="H729" s="214"/>
      <c r="J729" s="41"/>
    </row>
    <row r="730" spans="1:10" hidden="1">
      <c r="A730" s="233">
        <v>44778</v>
      </c>
      <c r="B730" s="213"/>
      <c r="C730" s="213"/>
      <c r="D730" s="213"/>
      <c r="E730" s="214"/>
      <c r="F730" s="215">
        <v>4268.3</v>
      </c>
      <c r="G730" s="231">
        <v>9.1300000000000008</v>
      </c>
      <c r="H730" s="214"/>
      <c r="J730" s="41"/>
    </row>
    <row r="731" spans="1:10" hidden="1">
      <c r="A731" s="230">
        <v>44785</v>
      </c>
      <c r="B731" s="213"/>
      <c r="C731" s="213"/>
      <c r="D731" s="213"/>
      <c r="E731" s="214"/>
      <c r="F731" s="215">
        <v>4231.45</v>
      </c>
      <c r="G731" s="231">
        <v>7.11</v>
      </c>
      <c r="H731" s="214"/>
      <c r="J731" s="41"/>
    </row>
    <row r="732" spans="1:10" hidden="1">
      <c r="A732" s="230">
        <v>44792</v>
      </c>
      <c r="B732" s="213"/>
      <c r="C732" s="213"/>
      <c r="D732" s="213"/>
      <c r="E732" s="214"/>
      <c r="F732" s="215">
        <v>4413.8599999999997</v>
      </c>
      <c r="G732" s="231">
        <v>14.31</v>
      </c>
      <c r="H732" s="214"/>
      <c r="J732" s="41"/>
    </row>
    <row r="733" spans="1:10" hidden="1">
      <c r="A733" s="230">
        <v>44799</v>
      </c>
      <c r="B733" s="213"/>
      <c r="C733" s="213"/>
      <c r="D733" s="213"/>
      <c r="E733" s="214"/>
      <c r="F733" s="215">
        <v>4407.95</v>
      </c>
      <c r="G733" s="231">
        <v>14.05</v>
      </c>
      <c r="H733" s="214"/>
      <c r="J733" s="41"/>
    </row>
    <row r="734" spans="1:10" hidden="1">
      <c r="A734" s="230">
        <v>44806</v>
      </c>
      <c r="B734" s="213"/>
      <c r="C734" s="213"/>
      <c r="D734" s="213"/>
      <c r="E734" s="214"/>
      <c r="F734" s="215">
        <v>4467.03</v>
      </c>
      <c r="G734" s="231">
        <v>19.02</v>
      </c>
      <c r="H734" s="214"/>
      <c r="J734" s="41"/>
    </row>
    <row r="735" spans="1:10" hidden="1">
      <c r="A735" s="230">
        <v>44813</v>
      </c>
      <c r="B735" s="213"/>
      <c r="C735" s="213"/>
      <c r="D735" s="213"/>
      <c r="E735" s="214"/>
      <c r="F735" s="215">
        <v>4396.6899999999996</v>
      </c>
      <c r="G735" s="231">
        <v>15.21</v>
      </c>
      <c r="H735" s="214"/>
      <c r="J735" s="41"/>
    </row>
    <row r="736" spans="1:10" hidden="1">
      <c r="A736" s="230">
        <v>44820</v>
      </c>
      <c r="B736" s="213"/>
      <c r="C736" s="213"/>
      <c r="D736" s="213"/>
      <c r="E736" s="214"/>
      <c r="F736" s="215">
        <v>4404.6400000000003</v>
      </c>
      <c r="G736" s="231">
        <v>15.14</v>
      </c>
      <c r="H736" s="214"/>
      <c r="J736" s="41"/>
    </row>
    <row r="737" spans="1:10" hidden="1">
      <c r="A737" s="230">
        <v>44827</v>
      </c>
      <c r="B737" s="213"/>
      <c r="C737" s="213"/>
      <c r="D737" s="213"/>
      <c r="E737" s="214"/>
      <c r="F737" s="215">
        <v>4379.8</v>
      </c>
      <c r="G737" s="231">
        <v>14.22</v>
      </c>
      <c r="H737" s="214"/>
      <c r="J737" s="41"/>
    </row>
    <row r="738" spans="1:10" hidden="1">
      <c r="A738" s="230">
        <v>44834</v>
      </c>
      <c r="B738" s="213"/>
      <c r="C738" s="213"/>
      <c r="D738" s="213"/>
      <c r="E738" s="214"/>
      <c r="F738" s="215">
        <v>4532.07</v>
      </c>
      <c r="G738" s="231">
        <v>18.190000000000001</v>
      </c>
      <c r="H738" s="214"/>
      <c r="J738" s="41"/>
    </row>
    <row r="739" spans="1:10" hidden="1">
      <c r="A739" s="230">
        <v>44841</v>
      </c>
      <c r="B739" s="213"/>
      <c r="C739" s="213"/>
      <c r="D739" s="213"/>
      <c r="E739" s="214"/>
      <c r="F739" s="215">
        <v>4627.6099999999997</v>
      </c>
      <c r="G739" s="231">
        <v>22.16</v>
      </c>
      <c r="H739" s="214"/>
      <c r="J739" s="41"/>
    </row>
    <row r="740" spans="1:10" hidden="1">
      <c r="A740" s="230">
        <v>44848</v>
      </c>
      <c r="B740" s="213"/>
      <c r="C740" s="213"/>
      <c r="D740" s="213"/>
      <c r="E740" s="214"/>
      <c r="F740" s="215">
        <v>4619.78</v>
      </c>
      <c r="G740" s="231">
        <v>23.995973964973484</v>
      </c>
      <c r="H740" s="214"/>
      <c r="J740" s="41"/>
    </row>
    <row r="741" spans="1:10" hidden="1">
      <c r="A741" s="230">
        <v>44855</v>
      </c>
      <c r="B741" s="213"/>
      <c r="C741" s="213"/>
      <c r="D741" s="213"/>
      <c r="E741" s="214"/>
      <c r="F741" s="215">
        <v>4885.5</v>
      </c>
      <c r="G741" s="231">
        <v>29.57</v>
      </c>
      <c r="H741" s="214"/>
      <c r="J741" s="41"/>
    </row>
    <row r="742" spans="1:10" hidden="1">
      <c r="A742" s="230">
        <v>44862</v>
      </c>
      <c r="B742" s="213"/>
      <c r="C742" s="213"/>
      <c r="D742" s="213"/>
      <c r="E742" s="214"/>
      <c r="F742" s="215">
        <v>4821.92</v>
      </c>
      <c r="G742" s="231">
        <v>28.2</v>
      </c>
      <c r="H742" s="214"/>
      <c r="J742" s="41"/>
    </row>
    <row r="743" spans="1:10" hidden="1">
      <c r="A743" s="230">
        <v>44869</v>
      </c>
      <c r="B743" s="213"/>
      <c r="C743" s="213"/>
      <c r="D743" s="213"/>
      <c r="E743" s="214"/>
      <c r="F743" s="215">
        <v>5058.0200000000004</v>
      </c>
      <c r="G743" s="231">
        <v>31.79</v>
      </c>
      <c r="H743" s="214"/>
      <c r="J743" s="41"/>
    </row>
    <row r="744" spans="1:10" hidden="1">
      <c r="A744" s="230">
        <v>44876</v>
      </c>
      <c r="B744" s="213"/>
      <c r="C744" s="213"/>
      <c r="D744" s="213"/>
      <c r="E744" s="214"/>
      <c r="F744" s="215">
        <v>4806.07</v>
      </c>
      <c r="G744" s="231">
        <v>24.02</v>
      </c>
      <c r="H744" s="214"/>
      <c r="J744" s="41"/>
    </row>
    <row r="745" spans="1:10" hidden="1">
      <c r="A745" s="230">
        <v>44883</v>
      </c>
      <c r="B745" s="213"/>
      <c r="C745" s="213"/>
      <c r="D745" s="213"/>
      <c r="E745" s="214"/>
      <c r="F745" s="215">
        <v>5022.03</v>
      </c>
      <c r="G745" s="231">
        <v>28.51</v>
      </c>
      <c r="H745" s="214"/>
      <c r="J745" s="41"/>
    </row>
    <row r="746" spans="1:10" hidden="1">
      <c r="A746" s="230">
        <v>44890</v>
      </c>
      <c r="B746" s="213"/>
      <c r="C746" s="213"/>
      <c r="D746" s="213"/>
      <c r="E746" s="214"/>
      <c r="F746" s="215">
        <v>4875.91</v>
      </c>
      <c r="G746" s="231">
        <v>22.83</v>
      </c>
      <c r="H746" s="214"/>
      <c r="J746" s="41"/>
    </row>
    <row r="747" spans="1:10" hidden="1">
      <c r="A747" s="230">
        <v>44897</v>
      </c>
      <c r="B747" s="213"/>
      <c r="C747" s="213"/>
      <c r="D747" s="213"/>
      <c r="E747" s="214"/>
      <c r="F747" s="215">
        <v>4779.0600000000004</v>
      </c>
      <c r="G747" s="231">
        <v>20.89</v>
      </c>
      <c r="H747" s="214"/>
      <c r="J747" s="41"/>
    </row>
    <row r="748" spans="1:10" hidden="1">
      <c r="A748" s="230">
        <v>44904</v>
      </c>
      <c r="B748" s="213"/>
      <c r="C748" s="213"/>
      <c r="D748" s="213"/>
      <c r="E748" s="214"/>
      <c r="F748" s="215">
        <v>4825.83</v>
      </c>
      <c r="G748" s="231">
        <v>23.55</v>
      </c>
      <c r="H748" s="214"/>
      <c r="J748" s="41"/>
    </row>
    <row r="749" spans="1:10" hidden="1">
      <c r="A749" s="230">
        <v>44911</v>
      </c>
      <c r="B749" s="213"/>
      <c r="C749" s="213"/>
      <c r="D749" s="213"/>
      <c r="E749" s="214"/>
      <c r="F749" s="215">
        <v>4797.0200000000004</v>
      </c>
      <c r="G749" s="231">
        <v>20.22</v>
      </c>
      <c r="H749" s="214"/>
      <c r="J749" s="41"/>
    </row>
    <row r="750" spans="1:10" hidden="1">
      <c r="A750" s="230">
        <v>44918</v>
      </c>
      <c r="B750" s="213"/>
      <c r="C750" s="213"/>
      <c r="D750" s="213"/>
      <c r="E750" s="214"/>
      <c r="F750" s="215">
        <v>4760.6099999999997</v>
      </c>
      <c r="G750" s="231">
        <v>19.079999999999998</v>
      </c>
      <c r="H750" s="214"/>
      <c r="J750" s="41"/>
    </row>
    <row r="751" spans="1:10" hidden="1">
      <c r="A751" s="230">
        <v>44925</v>
      </c>
      <c r="B751" s="213"/>
      <c r="C751" s="213"/>
      <c r="D751" s="213"/>
      <c r="E751" s="214"/>
      <c r="F751" s="215">
        <v>4810.2</v>
      </c>
      <c r="G751" s="231">
        <v>19.547280101797359</v>
      </c>
      <c r="H751" s="214"/>
      <c r="J751" s="41"/>
    </row>
    <row r="752" spans="1:10" hidden="1">
      <c r="A752" s="230">
        <v>44932</v>
      </c>
      <c r="B752" s="213"/>
      <c r="C752" s="213"/>
      <c r="D752" s="213"/>
      <c r="E752" s="214"/>
      <c r="F752" s="215">
        <v>4989.58</v>
      </c>
      <c r="G752" s="231">
        <v>23.432351398687889</v>
      </c>
      <c r="H752" s="214"/>
      <c r="J752" s="41"/>
    </row>
    <row r="753" spans="1:10" hidden="1">
      <c r="A753" s="230">
        <v>44939</v>
      </c>
      <c r="B753" s="213"/>
      <c r="C753" s="213"/>
      <c r="D753" s="213"/>
      <c r="E753" s="214"/>
      <c r="F753" s="215">
        <v>4692.04</v>
      </c>
      <c r="G753" s="231">
        <v>18.185023979365656</v>
      </c>
      <c r="H753" s="214"/>
      <c r="J753" s="41"/>
    </row>
    <row r="754" spans="1:10" hidden="1">
      <c r="A754" s="230">
        <v>44946</v>
      </c>
      <c r="B754" s="213"/>
      <c r="C754" s="213"/>
      <c r="D754" s="213"/>
      <c r="E754" s="214"/>
      <c r="F754" s="215">
        <v>4683.8500000000004</v>
      </c>
      <c r="G754" s="231">
        <v>16.980731527616499</v>
      </c>
      <c r="H754" s="214"/>
      <c r="J754" s="41"/>
    </row>
    <row r="755" spans="1:10" hidden="1">
      <c r="A755" s="230">
        <v>44953</v>
      </c>
      <c r="B755" s="213"/>
      <c r="C755" s="213"/>
      <c r="D755" s="213"/>
      <c r="E755" s="214"/>
      <c r="F755" s="215">
        <v>4531.75</v>
      </c>
      <c r="G755" s="231">
        <v>14.79</v>
      </c>
      <c r="H755" s="214"/>
      <c r="J755" s="41"/>
    </row>
    <row r="756" spans="1:10" hidden="1">
      <c r="A756" s="230">
        <v>44960</v>
      </c>
      <c r="B756" s="213"/>
      <c r="C756" s="213"/>
      <c r="D756" s="213"/>
      <c r="E756" s="214"/>
      <c r="F756" s="215">
        <v>4584.4399999999996</v>
      </c>
      <c r="G756" s="231">
        <v>16.71</v>
      </c>
      <c r="H756" s="214"/>
      <c r="J756" s="41"/>
    </row>
    <row r="757" spans="1:10" hidden="1">
      <c r="A757" s="230">
        <v>44967</v>
      </c>
      <c r="B757" s="213"/>
      <c r="C757" s="213"/>
      <c r="D757" s="213"/>
      <c r="E757" s="214"/>
      <c r="F757" s="215">
        <v>4742.05</v>
      </c>
      <c r="G757" s="231">
        <v>20.38</v>
      </c>
      <c r="H757" s="214"/>
      <c r="J757" s="41"/>
    </row>
    <row r="758" spans="1:10" hidden="1">
      <c r="A758" s="230">
        <v>44974</v>
      </c>
      <c r="B758" s="213"/>
      <c r="C758" s="213"/>
      <c r="D758" s="213"/>
      <c r="E758" s="214"/>
      <c r="F758" s="215">
        <v>4966.33</v>
      </c>
      <c r="G758" s="231">
        <v>25.29</v>
      </c>
      <c r="H758" s="214"/>
      <c r="J758" s="41"/>
    </row>
    <row r="759" spans="1:10" hidden="1">
      <c r="A759" s="230">
        <v>44981</v>
      </c>
      <c r="B759" s="213"/>
      <c r="C759" s="213"/>
      <c r="D759" s="213"/>
      <c r="E759" s="214"/>
      <c r="F759" s="215">
        <v>4853.8999999999996</v>
      </c>
      <c r="G759" s="231">
        <v>24.02</v>
      </c>
      <c r="H759" s="214"/>
      <c r="J759" s="41"/>
    </row>
    <row r="760" spans="1:10" hidden="1">
      <c r="A760" s="230">
        <v>44988</v>
      </c>
      <c r="B760" s="213"/>
      <c r="C760" s="213"/>
      <c r="D760" s="213"/>
      <c r="E760" s="214"/>
      <c r="F760" s="215">
        <v>4855.83</v>
      </c>
      <c r="G760" s="231">
        <v>25.7</v>
      </c>
      <c r="H760" s="214"/>
      <c r="J760" s="41"/>
    </row>
    <row r="761" spans="1:10" hidden="1">
      <c r="A761" s="230">
        <v>44995</v>
      </c>
      <c r="B761" s="213"/>
      <c r="C761" s="213"/>
      <c r="D761" s="213"/>
      <c r="E761" s="214"/>
      <c r="F761" s="215">
        <v>4748.6099999999997</v>
      </c>
      <c r="G761" s="231">
        <v>26.75</v>
      </c>
      <c r="H761" s="214"/>
      <c r="J761" s="41"/>
    </row>
    <row r="762" spans="1:10" hidden="1">
      <c r="A762" s="230">
        <v>45002</v>
      </c>
      <c r="B762" s="213"/>
      <c r="C762" s="213"/>
      <c r="D762" s="213"/>
      <c r="E762" s="214"/>
      <c r="F762" s="215">
        <v>4866.5</v>
      </c>
      <c r="G762" s="231">
        <v>27.17</v>
      </c>
      <c r="H762" s="214"/>
      <c r="J762" s="41"/>
    </row>
    <row r="763" spans="1:10" hidden="1">
      <c r="A763" s="230">
        <v>45009</v>
      </c>
      <c r="B763" s="213"/>
      <c r="C763" s="213"/>
      <c r="D763" s="213"/>
      <c r="E763" s="214"/>
      <c r="F763" s="215">
        <v>4755.12</v>
      </c>
      <c r="G763" s="231">
        <v>26.58</v>
      </c>
      <c r="H763" s="214"/>
      <c r="J763" s="41"/>
    </row>
    <row r="764" spans="1:10" hidden="1">
      <c r="A764" s="230">
        <v>45016</v>
      </c>
      <c r="B764" s="213"/>
      <c r="C764" s="213"/>
      <c r="D764" s="213"/>
      <c r="E764" s="214"/>
      <c r="F764" s="215">
        <v>4627.2700000000004</v>
      </c>
      <c r="G764" s="231">
        <v>23.45</v>
      </c>
      <c r="H764" s="214"/>
      <c r="J764" s="41"/>
    </row>
    <row r="765" spans="1:10" hidden="1">
      <c r="A765" s="230">
        <v>45023</v>
      </c>
      <c r="B765" s="213"/>
      <c r="C765" s="213"/>
      <c r="D765" s="213"/>
      <c r="E765" s="214"/>
      <c r="F765" s="215">
        <v>4570.91</v>
      </c>
      <c r="G765" s="231">
        <v>22</v>
      </c>
      <c r="H765" s="214"/>
      <c r="J765" s="41"/>
    </row>
    <row r="766" spans="1:10" hidden="1">
      <c r="A766" s="230">
        <v>45030</v>
      </c>
      <c r="B766" s="213"/>
      <c r="C766" s="213"/>
      <c r="D766" s="213"/>
      <c r="E766" s="214"/>
      <c r="F766" s="215">
        <v>4424.0200000000004</v>
      </c>
      <c r="G766" s="231">
        <v>18.37</v>
      </c>
      <c r="H766" s="214"/>
      <c r="J766" s="41"/>
    </row>
    <row r="767" spans="1:10" hidden="1">
      <c r="A767" s="230">
        <v>45037</v>
      </c>
      <c r="B767" s="213"/>
      <c r="C767" s="213"/>
      <c r="D767" s="213"/>
      <c r="E767" s="214"/>
      <c r="F767" s="215">
        <v>4535.78</v>
      </c>
      <c r="G767" s="231">
        <v>20.68</v>
      </c>
      <c r="H767" s="214"/>
      <c r="J767" s="41"/>
    </row>
    <row r="768" spans="1:10" hidden="1">
      <c r="A768" s="230">
        <v>45044</v>
      </c>
      <c r="B768" s="213"/>
      <c r="C768" s="213"/>
      <c r="D768" s="213"/>
      <c r="E768" s="214"/>
      <c r="F768" s="215">
        <v>4654.1400000000003</v>
      </c>
      <c r="G768" s="231">
        <v>17.309999999999999</v>
      </c>
      <c r="H768" s="214"/>
      <c r="J768" s="41"/>
    </row>
    <row r="769" spans="1:10" hidden="1">
      <c r="A769" s="230">
        <v>45051</v>
      </c>
      <c r="B769" s="213"/>
      <c r="C769" s="213"/>
      <c r="D769" s="213"/>
      <c r="E769" s="214"/>
      <c r="F769" s="215">
        <v>4616.58</v>
      </c>
      <c r="G769" s="231">
        <v>13.81</v>
      </c>
      <c r="H769" s="214"/>
      <c r="J769" s="41"/>
    </row>
    <row r="770" spans="1:10" hidden="1">
      <c r="A770" s="230">
        <v>45058</v>
      </c>
      <c r="B770" s="213"/>
      <c r="C770" s="213"/>
      <c r="D770" s="213"/>
      <c r="E770" s="214"/>
      <c r="F770" s="215">
        <v>4601.1499999999996</v>
      </c>
      <c r="G770" s="231">
        <v>12.76</v>
      </c>
      <c r="H770" s="214"/>
      <c r="J770" s="41"/>
    </row>
    <row r="771" spans="1:10" hidden="1">
      <c r="A771" s="230">
        <v>45065</v>
      </c>
      <c r="B771" s="213"/>
      <c r="C771" s="213"/>
      <c r="D771" s="213"/>
      <c r="E771" s="214"/>
      <c r="F771" s="215">
        <v>4521.6400000000003</v>
      </c>
      <c r="G771" s="231">
        <v>11.52</v>
      </c>
      <c r="H771" s="214"/>
      <c r="J771" s="41"/>
    </row>
    <row r="772" spans="1:10" hidden="1">
      <c r="A772" s="230">
        <v>45072</v>
      </c>
      <c r="B772" s="213"/>
      <c r="C772" s="213"/>
      <c r="D772" s="213"/>
      <c r="E772" s="214"/>
      <c r="F772" s="215">
        <v>4470.83</v>
      </c>
      <c r="G772" s="231">
        <v>12.93</v>
      </c>
      <c r="H772" s="214"/>
      <c r="J772" s="41"/>
    </row>
    <row r="773" spans="1:10" hidden="1">
      <c r="A773" s="230">
        <v>45079</v>
      </c>
      <c r="B773" s="213"/>
      <c r="C773" s="213"/>
      <c r="D773" s="213"/>
      <c r="E773" s="214"/>
      <c r="F773" s="215">
        <v>4410.49</v>
      </c>
      <c r="G773" s="231">
        <v>16.32</v>
      </c>
      <c r="H773" s="214"/>
      <c r="J773" s="41"/>
    </row>
    <row r="774" spans="1:10" hidden="1">
      <c r="A774" s="230">
        <v>45086</v>
      </c>
      <c r="B774" s="213"/>
      <c r="C774" s="213"/>
      <c r="D774" s="213"/>
      <c r="E774" s="214"/>
      <c r="F774" s="215">
        <v>4179.9799999999996</v>
      </c>
      <c r="G774" s="231">
        <v>10.5</v>
      </c>
      <c r="H774" s="214"/>
      <c r="J774" s="41"/>
    </row>
    <row r="775" spans="1:10" hidden="1">
      <c r="A775" s="230">
        <v>45093</v>
      </c>
      <c r="B775" s="213"/>
      <c r="C775" s="213"/>
      <c r="D775" s="213"/>
      <c r="E775" s="214"/>
      <c r="F775" s="215">
        <v>4164.66</v>
      </c>
      <c r="G775" s="231">
        <v>6.13</v>
      </c>
      <c r="H775" s="214"/>
      <c r="J775" s="41"/>
    </row>
    <row r="776" spans="1:10" hidden="1">
      <c r="A776" s="230">
        <v>45100</v>
      </c>
      <c r="B776" s="213"/>
      <c r="C776" s="213"/>
      <c r="D776" s="213"/>
      <c r="E776" s="214"/>
      <c r="F776" s="215">
        <v>4114.3900000000003</v>
      </c>
      <c r="G776" s="231">
        <v>2.182281473828529</v>
      </c>
      <c r="H776" s="214"/>
      <c r="J776" s="41"/>
    </row>
    <row r="777" spans="1:10" hidden="1">
      <c r="A777" s="230">
        <v>45107</v>
      </c>
      <c r="B777" s="213"/>
      <c r="C777" s="213"/>
      <c r="D777" s="213"/>
      <c r="E777" s="214"/>
      <c r="F777" s="215">
        <v>4191.28</v>
      </c>
      <c r="G777" s="231">
        <v>1.55</v>
      </c>
      <c r="H777" s="214"/>
      <c r="J777" s="41"/>
    </row>
    <row r="778" spans="1:10" hidden="1">
      <c r="A778" s="230">
        <v>45114</v>
      </c>
      <c r="B778" s="213"/>
      <c r="C778" s="213"/>
      <c r="D778" s="213"/>
      <c r="E778" s="214"/>
      <c r="F778" s="215">
        <v>4195.93</v>
      </c>
      <c r="G778" s="231">
        <v>-3.51</v>
      </c>
      <c r="H778" s="214"/>
      <c r="J778" s="41"/>
    </row>
    <row r="779" spans="1:10" hidden="1">
      <c r="A779" s="230">
        <v>45121</v>
      </c>
      <c r="B779" s="213"/>
      <c r="C779" s="213"/>
      <c r="D779" s="213"/>
      <c r="E779" s="214"/>
      <c r="F779" s="215">
        <v>4102.13</v>
      </c>
      <c r="G779" s="231">
        <v>-10</v>
      </c>
      <c r="H779" s="214"/>
      <c r="J779" s="41"/>
    </row>
    <row r="780" spans="1:10" hidden="1">
      <c r="A780" s="230">
        <v>45128</v>
      </c>
      <c r="B780" s="213"/>
      <c r="C780" s="213"/>
      <c r="D780" s="213"/>
      <c r="E780" s="214"/>
      <c r="F780" s="215">
        <v>3980.2</v>
      </c>
      <c r="G780" s="231">
        <v>-7.51</v>
      </c>
      <c r="H780" s="214"/>
      <c r="J780" s="41"/>
    </row>
    <row r="781" spans="1:10" hidden="1">
      <c r="A781" s="230">
        <v>45135</v>
      </c>
      <c r="B781" s="213"/>
      <c r="C781" s="213"/>
      <c r="D781" s="213"/>
      <c r="E781" s="214"/>
      <c r="F781" s="215">
        <v>3932.04</v>
      </c>
      <c r="G781" s="231">
        <v>-11.05</v>
      </c>
      <c r="H781" s="214"/>
      <c r="J781" s="41"/>
    </row>
    <row r="782" spans="1:10" hidden="1">
      <c r="A782" s="230">
        <v>45142</v>
      </c>
      <c r="B782" s="213"/>
      <c r="C782" s="213"/>
      <c r="D782" s="213"/>
      <c r="E782" s="214"/>
      <c r="F782" s="215">
        <v>4144.79</v>
      </c>
      <c r="G782" s="231">
        <v>-4.3</v>
      </c>
      <c r="H782" s="214"/>
      <c r="J782" s="41"/>
    </row>
    <row r="783" spans="1:10" hidden="1">
      <c r="A783" s="230">
        <v>45149</v>
      </c>
      <c r="B783" s="213"/>
      <c r="C783" s="213"/>
      <c r="D783" s="213"/>
      <c r="E783" s="214"/>
      <c r="F783" s="215">
        <v>3955.23</v>
      </c>
      <c r="G783" s="231">
        <v>-7.45</v>
      </c>
      <c r="H783" s="214"/>
      <c r="J783" s="41"/>
    </row>
    <row r="784" spans="1:10" hidden="1">
      <c r="A784" s="230">
        <v>45156</v>
      </c>
      <c r="B784" s="213"/>
      <c r="C784" s="213"/>
      <c r="D784" s="213"/>
      <c r="E784" s="214"/>
      <c r="F784" s="215">
        <v>4093.96</v>
      </c>
      <c r="G784" s="231">
        <v>-5.15</v>
      </c>
      <c r="H784" s="214"/>
      <c r="J784" s="41"/>
    </row>
    <row r="785" spans="1:17" hidden="1">
      <c r="A785" s="230">
        <v>45163</v>
      </c>
      <c r="B785" s="213"/>
      <c r="C785" s="213"/>
      <c r="D785" s="213"/>
      <c r="E785" s="214"/>
      <c r="F785" s="215">
        <v>4076.9</v>
      </c>
      <c r="G785" s="231">
        <v>-6.92</v>
      </c>
      <c r="H785" s="214"/>
      <c r="J785" s="41"/>
      <c r="P785" s="206">
        <v>4076.9</v>
      </c>
      <c r="Q785" s="206">
        <v>-6.92</v>
      </c>
    </row>
    <row r="786" spans="1:17" hidden="1">
      <c r="A786" s="230">
        <v>45170</v>
      </c>
      <c r="B786" s="213"/>
      <c r="C786" s="213"/>
      <c r="D786" s="213"/>
      <c r="E786" s="214"/>
      <c r="F786" s="215">
        <v>4099.2</v>
      </c>
      <c r="G786" s="231">
        <v>-7.32</v>
      </c>
      <c r="H786" s="214"/>
      <c r="J786" s="41"/>
      <c r="P786" s="206">
        <v>4099.2</v>
      </c>
      <c r="Q786" s="206">
        <v>-7.32</v>
      </c>
    </row>
    <row r="787" spans="1:17" hidden="1">
      <c r="A787" s="230">
        <v>45177</v>
      </c>
      <c r="B787" s="213"/>
      <c r="C787" s="213"/>
      <c r="D787" s="213"/>
      <c r="E787" s="214"/>
      <c r="F787" s="215">
        <v>4045.83</v>
      </c>
      <c r="G787" s="231">
        <v>-9.01</v>
      </c>
      <c r="H787" s="214"/>
      <c r="J787" s="41"/>
    </row>
    <row r="788" spans="1:17" hidden="1">
      <c r="A788" s="230">
        <v>45184</v>
      </c>
      <c r="B788" s="213"/>
      <c r="C788" s="213"/>
      <c r="D788" s="213"/>
      <c r="E788" s="214"/>
      <c r="F788" s="215">
        <v>3926.59</v>
      </c>
      <c r="G788" s="231">
        <v>-10.55</v>
      </c>
      <c r="H788" s="214"/>
      <c r="J788" s="41"/>
    </row>
    <row r="789" spans="1:17" hidden="1">
      <c r="A789" s="230">
        <v>45191</v>
      </c>
      <c r="B789" s="213"/>
      <c r="C789" s="213"/>
      <c r="D789" s="213"/>
      <c r="E789" s="214"/>
      <c r="F789" s="215">
        <v>3948.25</v>
      </c>
      <c r="G789" s="231">
        <v>-10.34</v>
      </c>
      <c r="H789" s="214"/>
      <c r="J789" s="41"/>
    </row>
    <row r="790" spans="1:17" hidden="1">
      <c r="A790" s="230">
        <v>45198</v>
      </c>
      <c r="B790" s="213"/>
      <c r="C790" s="213"/>
      <c r="D790" s="213"/>
      <c r="E790" s="214"/>
      <c r="F790" s="215">
        <v>4085.57</v>
      </c>
      <c r="G790" s="231">
        <v>-8.9452945660071119</v>
      </c>
      <c r="H790" s="214"/>
      <c r="J790" s="41"/>
    </row>
    <row r="791" spans="1:17" hidden="1">
      <c r="A791" s="230">
        <v>45205</v>
      </c>
      <c r="B791" s="213"/>
      <c r="C791" s="213"/>
      <c r="D791" s="213"/>
      <c r="E791" s="214"/>
      <c r="F791" s="215">
        <v>4359.3999999999996</v>
      </c>
      <c r="G791" s="231">
        <v>-4.17</v>
      </c>
      <c r="H791" s="214"/>
      <c r="J791" s="41"/>
    </row>
    <row r="792" spans="1:17" hidden="1">
      <c r="A792" s="230">
        <v>45212</v>
      </c>
      <c r="B792" s="213"/>
      <c r="C792" s="213"/>
      <c r="D792" s="213"/>
      <c r="E792" s="214"/>
      <c r="F792" s="215">
        <v>4230.6099999999997</v>
      </c>
      <c r="G792" s="231">
        <v>-8.25</v>
      </c>
      <c r="H792" s="214"/>
      <c r="J792" s="41"/>
    </row>
    <row r="793" spans="1:17" hidden="1">
      <c r="A793" s="230">
        <v>45219</v>
      </c>
      <c r="B793" s="213"/>
      <c r="C793" s="213"/>
      <c r="D793" s="213"/>
      <c r="E793" s="214"/>
      <c r="F793" s="215">
        <v>4249.71</v>
      </c>
      <c r="G793" s="231">
        <v>-11.742000000000001</v>
      </c>
      <c r="H793" s="214"/>
      <c r="J793" s="41"/>
    </row>
    <row r="794" spans="1:17" hidden="1">
      <c r="A794" s="230">
        <v>45226</v>
      </c>
      <c r="B794" s="213"/>
      <c r="C794" s="213"/>
      <c r="D794" s="213"/>
      <c r="E794" s="214"/>
      <c r="F794" s="215">
        <v>4154.9399999999996</v>
      </c>
      <c r="G794" s="231">
        <v>-15.123720964437249</v>
      </c>
      <c r="H794" s="214"/>
      <c r="J794" s="41"/>
    </row>
    <row r="795" spans="1:17" hidden="1">
      <c r="A795" s="230">
        <v>45233</v>
      </c>
      <c r="B795" s="213"/>
      <c r="C795" s="213"/>
      <c r="D795" s="213"/>
      <c r="E795" s="214"/>
      <c r="F795" s="215">
        <v>4047.11</v>
      </c>
      <c r="G795" s="231">
        <v>-19.309999999999999</v>
      </c>
      <c r="H795" s="214"/>
      <c r="J795" s="41"/>
    </row>
    <row r="796" spans="1:17" hidden="1">
      <c r="A796" s="230">
        <v>45240</v>
      </c>
      <c r="B796" s="213"/>
      <c r="C796" s="213"/>
      <c r="D796" s="213"/>
      <c r="E796" s="214"/>
      <c r="F796" s="215">
        <v>4056.94</v>
      </c>
      <c r="G796" s="231">
        <v>-17.45</v>
      </c>
      <c r="H796" s="214"/>
      <c r="J796" s="41"/>
    </row>
    <row r="797" spans="1:17" hidden="1">
      <c r="A797" s="230">
        <v>45247</v>
      </c>
      <c r="B797" s="213"/>
      <c r="C797" s="213"/>
      <c r="D797" s="213"/>
      <c r="E797" s="214"/>
      <c r="F797" s="215">
        <v>4077.44</v>
      </c>
      <c r="G797" s="231">
        <v>-17.170658378532099</v>
      </c>
      <c r="H797" s="214"/>
      <c r="J797" s="41"/>
    </row>
    <row r="798" spans="1:17" hidden="1">
      <c r="A798" s="230">
        <v>45254</v>
      </c>
      <c r="B798" s="213"/>
      <c r="C798" s="213"/>
      <c r="D798" s="213"/>
      <c r="E798" s="214"/>
      <c r="F798" s="215">
        <v>4092.33</v>
      </c>
      <c r="G798" s="231">
        <v>-16.07</v>
      </c>
      <c r="H798" s="214"/>
      <c r="J798" s="41"/>
    </row>
    <row r="799" spans="1:17" hidden="1">
      <c r="A799" s="230">
        <v>45261</v>
      </c>
      <c r="B799" s="213"/>
      <c r="C799" s="213"/>
      <c r="D799" s="213"/>
      <c r="E799" s="214"/>
      <c r="F799" s="215">
        <v>4045.22</v>
      </c>
      <c r="G799" s="231">
        <v>-15.997416723599811</v>
      </c>
      <c r="H799" s="214"/>
      <c r="J799" s="41"/>
    </row>
    <row r="800" spans="1:17" hidden="1">
      <c r="A800" s="230">
        <v>45268</v>
      </c>
      <c r="B800" s="213"/>
      <c r="C800" s="213"/>
      <c r="D800" s="213"/>
      <c r="E800" s="214"/>
      <c r="F800" s="215">
        <v>3998.51</v>
      </c>
      <c r="G800" s="231">
        <v>-17.143579446437187</v>
      </c>
      <c r="H800" s="214"/>
      <c r="J800" s="41"/>
    </row>
    <row r="801" spans="1:18">
      <c r="A801" s="230">
        <v>45275</v>
      </c>
      <c r="B801" s="213"/>
      <c r="C801" s="213"/>
      <c r="D801" s="213"/>
      <c r="E801" s="214"/>
      <c r="F801" s="215">
        <v>3955.88</v>
      </c>
      <c r="G801" s="231">
        <v>-17.211214077031901</v>
      </c>
      <c r="H801" s="214"/>
      <c r="J801" s="41"/>
    </row>
    <row r="802" spans="1:18">
      <c r="A802" s="230">
        <v>45282</v>
      </c>
      <c r="B802" s="213"/>
      <c r="C802" s="213"/>
      <c r="D802" s="213"/>
      <c r="E802" s="214"/>
      <c r="F802" s="215">
        <v>3943.03</v>
      </c>
      <c r="G802" s="231">
        <v>-17.191765862181938</v>
      </c>
      <c r="H802" s="214"/>
      <c r="J802" s="41"/>
    </row>
    <row r="803" spans="1:18">
      <c r="A803" s="230">
        <v>45289</v>
      </c>
      <c r="B803" s="213"/>
      <c r="C803" s="213"/>
      <c r="D803" s="213"/>
      <c r="E803" s="214"/>
      <c r="F803" s="215">
        <v>3822.05</v>
      </c>
      <c r="G803" s="231">
        <v>-19.804570785913313</v>
      </c>
      <c r="H803" s="214"/>
      <c r="J803" s="41"/>
    </row>
    <row r="804" spans="1:18">
      <c r="A804" s="230">
        <v>45296</v>
      </c>
      <c r="B804" s="213"/>
      <c r="C804" s="213"/>
      <c r="D804" s="213"/>
      <c r="E804" s="214"/>
      <c r="F804" s="215">
        <v>3927.64</v>
      </c>
      <c r="G804" s="231">
        <v>-20.234768480909835</v>
      </c>
      <c r="H804" s="214"/>
      <c r="J804" s="41"/>
    </row>
    <row r="805" spans="1:18">
      <c r="A805" s="230">
        <v>45303</v>
      </c>
      <c r="B805" s="213"/>
      <c r="C805" s="213"/>
      <c r="D805" s="213"/>
      <c r="E805" s="214"/>
      <c r="F805" s="215">
        <v>3929.79</v>
      </c>
      <c r="G805" s="231">
        <v>-17.242141795162304</v>
      </c>
      <c r="H805" s="214"/>
      <c r="J805" s="41"/>
    </row>
    <row r="806" spans="1:18" ht="14.25" customHeight="1">
      <c r="A806" s="235"/>
      <c r="B806" s="236"/>
      <c r="C806" s="236"/>
      <c r="D806" s="236"/>
      <c r="E806" s="237"/>
      <c r="F806" s="238"/>
      <c r="G806" s="236"/>
      <c r="H806" s="237"/>
    </row>
    <row r="807" spans="1:18">
      <c r="A807" s="239" t="s">
        <v>3349</v>
      </c>
      <c r="B807" s="239"/>
      <c r="C807" s="239"/>
      <c r="D807" s="239"/>
      <c r="E807" s="239"/>
      <c r="F807" s="239"/>
      <c r="G807" s="239"/>
      <c r="H807" s="239"/>
    </row>
    <row r="808" spans="1:18" ht="27.75" customHeight="1">
      <c r="A808" s="897" t="s">
        <v>3350</v>
      </c>
      <c r="B808" s="897"/>
      <c r="C808" s="897"/>
      <c r="D808" s="897"/>
      <c r="E808" s="897"/>
      <c r="F808" s="897"/>
      <c r="G808" s="897"/>
      <c r="H808" s="897"/>
      <c r="K808" s="900"/>
      <c r="L808" s="900"/>
      <c r="M808" s="900"/>
      <c r="N808" s="900"/>
      <c r="O808" s="900"/>
      <c r="P808" s="900"/>
      <c r="Q808" s="900"/>
      <c r="R808" s="900"/>
    </row>
    <row r="809" spans="1:18" ht="27.75" customHeight="1">
      <c r="A809" s="897" t="s">
        <v>3351</v>
      </c>
      <c r="B809" s="897"/>
      <c r="C809" s="897"/>
      <c r="D809" s="897"/>
      <c r="E809" s="897"/>
      <c r="F809" s="897"/>
      <c r="G809" s="897"/>
      <c r="H809" s="897"/>
    </row>
    <row r="810" spans="1:18" ht="51" customHeight="1">
      <c r="A810" s="901" t="s">
        <v>3352</v>
      </c>
      <c r="B810" s="901"/>
      <c r="C810" s="901"/>
      <c r="D810" s="901"/>
      <c r="E810" s="901"/>
      <c r="F810" s="901"/>
      <c r="G810" s="901"/>
      <c r="H810" s="901"/>
    </row>
    <row r="811" spans="1:18" ht="51" customHeight="1">
      <c r="A811" s="902" t="s">
        <v>3353</v>
      </c>
      <c r="B811" s="902"/>
      <c r="C811" s="902"/>
      <c r="D811" s="902"/>
      <c r="E811" s="902"/>
      <c r="F811" s="902"/>
      <c r="G811" s="902"/>
      <c r="H811" s="902"/>
    </row>
    <row r="812" spans="1:18" ht="30.75" customHeight="1">
      <c r="A812" s="897" t="s">
        <v>3354</v>
      </c>
      <c r="B812" s="897"/>
      <c r="C812" s="897"/>
      <c r="D812" s="897"/>
      <c r="E812" s="897"/>
      <c r="F812" s="897"/>
      <c r="G812" s="897"/>
      <c r="H812" s="897"/>
    </row>
    <row r="813" spans="1:18">
      <c r="A813" s="897" t="s">
        <v>3355</v>
      </c>
      <c r="B813" s="897"/>
      <c r="C813" s="897"/>
      <c r="D813" s="897"/>
      <c r="E813" s="897"/>
      <c r="F813" s="897"/>
      <c r="G813" s="897"/>
      <c r="H813" s="897"/>
    </row>
    <row r="814" spans="1:18">
      <c r="A814" s="240" t="s">
        <v>3356</v>
      </c>
      <c r="K814" s="241"/>
    </row>
    <row r="815" spans="1:18">
      <c r="A815" s="240" t="s">
        <v>3357</v>
      </c>
      <c r="K815" s="241"/>
    </row>
    <row r="816" spans="1:18">
      <c r="A816" s="240" t="s">
        <v>2802</v>
      </c>
    </row>
    <row r="817" spans="1:1">
      <c r="A817" s="242"/>
    </row>
    <row r="818" spans="1:1">
      <c r="A818" s="243" t="s">
        <v>3358</v>
      </c>
    </row>
  </sheetData>
  <mergeCells count="9">
    <mergeCell ref="A813:H813"/>
    <mergeCell ref="B3:E3"/>
    <mergeCell ref="F3:H3"/>
    <mergeCell ref="A808:H808"/>
    <mergeCell ref="K808:R808"/>
    <mergeCell ref="A809:H809"/>
    <mergeCell ref="A810:H810"/>
    <mergeCell ref="A811:H811"/>
    <mergeCell ref="A812:H812"/>
  </mergeCells>
  <hyperlinks>
    <hyperlink ref="A814" r:id="rId1" xr:uid="{5DA35588-A6E9-4E42-B2C3-E209B04720C6}"/>
    <hyperlink ref="A816" r:id="rId2" xr:uid="{F87EBFF5-0466-46B7-AE15-3E549B5B9759}"/>
    <hyperlink ref="A818" r:id="rId3" xr:uid="{72DD2BB2-F07C-4240-8C5C-04D6FC0D83D7}"/>
  </hyperlinks>
  <printOptions horizontalCentered="1"/>
  <pageMargins left="0.70866141732283472" right="0.70866141732283472" top="0.9055118110236221" bottom="0.43307086614173229" header="0.19685039370078741" footer="0.15748031496062992"/>
  <pageSetup paperSize="9" scale="68" orientation="portrait" r:id="rId4"/>
  <headerFooter>
    <oddHeader>&amp;L&amp;G</oddHeader>
    <oddFooter>&amp;R&amp;P</oddFooter>
  </headerFooter>
  <colBreaks count="1" manualBreakCount="1">
    <brk id="8" max="1048575" man="1"/>
  </colBreaks>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5AA9-596A-4342-86FC-EC4450E1A3BC}">
  <dimension ref="A1:S32"/>
  <sheetViews>
    <sheetView showGridLines="0" showRowColHeaders="0" zoomScaleNormal="100" workbookViewId="0">
      <selection sqref="A1:Q2"/>
    </sheetView>
  </sheetViews>
  <sheetFormatPr baseColWidth="10" defaultColWidth="11.453125" defaultRowHeight="14.5"/>
  <sheetData>
    <row r="1" spans="1:19">
      <c r="A1" s="401" t="s">
        <v>2565</v>
      </c>
      <c r="B1" s="402"/>
      <c r="C1" s="402"/>
      <c r="D1" s="402"/>
      <c r="E1" s="402"/>
      <c r="F1" s="402"/>
      <c r="G1" s="402"/>
      <c r="H1" s="402"/>
      <c r="I1" s="402"/>
      <c r="J1" s="402"/>
      <c r="K1" s="402"/>
      <c r="L1" s="402"/>
      <c r="M1" s="402"/>
      <c r="N1" s="402"/>
      <c r="O1" s="402"/>
      <c r="P1" s="402"/>
      <c r="Q1" s="403"/>
      <c r="R1" s="79"/>
      <c r="S1" s="79"/>
    </row>
    <row r="2" spans="1:19" ht="15" thickBot="1">
      <c r="A2" s="404"/>
      <c r="B2" s="405"/>
      <c r="C2" s="405"/>
      <c r="D2" s="405"/>
      <c r="E2" s="405"/>
      <c r="F2" s="405"/>
      <c r="G2" s="405"/>
      <c r="H2" s="405"/>
      <c r="I2" s="405"/>
      <c r="J2" s="405"/>
      <c r="K2" s="405"/>
      <c r="L2" s="405"/>
      <c r="M2" s="405"/>
      <c r="N2" s="405"/>
      <c r="O2" s="405"/>
      <c r="P2" s="405"/>
      <c r="Q2" s="406"/>
      <c r="R2" s="79"/>
      <c r="S2" s="79"/>
    </row>
    <row r="3" spans="1:19" ht="15" thickBot="1">
      <c r="A3" s="79"/>
      <c r="B3" s="79"/>
      <c r="C3" s="79"/>
      <c r="D3" s="79"/>
      <c r="E3" s="79"/>
      <c r="F3" s="79"/>
      <c r="G3" s="79"/>
      <c r="H3" s="79"/>
      <c r="I3" s="79"/>
      <c r="J3" s="79"/>
      <c r="K3" s="79"/>
      <c r="L3" s="79"/>
      <c r="M3" s="79"/>
      <c r="N3" s="79"/>
      <c r="O3" s="79"/>
      <c r="P3" s="79"/>
      <c r="Q3" s="79"/>
      <c r="R3" s="79"/>
      <c r="S3" s="79"/>
    </row>
    <row r="4" spans="1:19">
      <c r="A4" s="79"/>
      <c r="B4" s="79"/>
      <c r="C4" s="79"/>
      <c r="D4" s="79"/>
      <c r="E4" s="79"/>
      <c r="F4" s="79"/>
      <c r="G4" s="79"/>
      <c r="H4" s="79"/>
      <c r="I4" s="79"/>
      <c r="J4" s="79"/>
      <c r="K4" s="509" t="s">
        <v>2566</v>
      </c>
      <c r="L4" s="79"/>
      <c r="M4" s="79"/>
      <c r="N4" s="501">
        <f>DATOS!B236+DATOS!B308</f>
        <v>355481762.57404</v>
      </c>
      <c r="O4" s="502"/>
      <c r="P4" s="79"/>
      <c r="Q4" s="79"/>
      <c r="R4" s="79"/>
      <c r="S4" s="79"/>
    </row>
    <row r="5" spans="1:19" ht="15" thickBot="1">
      <c r="A5" s="79"/>
      <c r="B5" s="79"/>
      <c r="C5" s="79"/>
      <c r="D5" s="79"/>
      <c r="E5" s="79"/>
      <c r="F5" s="79"/>
      <c r="G5" s="79"/>
      <c r="H5" s="79"/>
      <c r="I5" s="79"/>
      <c r="J5" s="79"/>
      <c r="K5" s="510"/>
      <c r="L5" s="79"/>
      <c r="M5" s="79"/>
      <c r="N5" s="503"/>
      <c r="O5" s="504"/>
      <c r="P5" s="79"/>
      <c r="Q5" s="79"/>
      <c r="R5" s="79"/>
      <c r="S5" s="79"/>
    </row>
    <row r="6" spans="1:19">
      <c r="A6" s="79"/>
      <c r="B6" s="79"/>
      <c r="C6" s="79"/>
      <c r="D6" s="79"/>
      <c r="E6" s="79"/>
      <c r="F6" s="79"/>
      <c r="G6" s="79"/>
      <c r="H6" s="79"/>
      <c r="I6" s="79"/>
      <c r="J6" s="79"/>
      <c r="K6" s="510"/>
      <c r="L6" s="79"/>
      <c r="M6" s="79"/>
      <c r="N6" s="79"/>
      <c r="O6" s="79"/>
      <c r="P6" s="79"/>
      <c r="Q6" s="79"/>
      <c r="R6" s="79"/>
      <c r="S6" s="79"/>
    </row>
    <row r="7" spans="1:19">
      <c r="A7" s="79"/>
      <c r="B7" s="79"/>
      <c r="C7" s="79"/>
      <c r="D7" s="79"/>
      <c r="E7" s="79"/>
      <c r="F7" s="79"/>
      <c r="G7" s="79"/>
      <c r="H7" s="79"/>
      <c r="I7" s="79"/>
      <c r="J7" s="79"/>
      <c r="K7" s="510"/>
      <c r="L7" s="79"/>
      <c r="M7" s="79"/>
      <c r="N7" s="79"/>
      <c r="O7" s="79"/>
      <c r="P7" s="79"/>
      <c r="Q7" s="79"/>
      <c r="R7" s="79"/>
      <c r="S7" s="79"/>
    </row>
    <row r="8" spans="1:19" ht="15" thickBot="1">
      <c r="A8" s="79"/>
      <c r="B8" s="79"/>
      <c r="C8" s="79"/>
      <c r="D8" s="79"/>
      <c r="E8" s="79"/>
      <c r="F8" s="79"/>
      <c r="G8" s="79"/>
      <c r="H8" s="79"/>
      <c r="I8" s="79"/>
      <c r="J8" s="79"/>
      <c r="K8" s="510"/>
      <c r="L8" s="79"/>
      <c r="M8" s="79"/>
      <c r="N8" s="79"/>
      <c r="O8" s="79"/>
      <c r="P8" s="79"/>
      <c r="Q8" s="79"/>
      <c r="R8" s="79"/>
      <c r="S8" s="79"/>
    </row>
    <row r="9" spans="1:19">
      <c r="A9" s="79"/>
      <c r="B9" s="79"/>
      <c r="C9" s="79"/>
      <c r="D9" s="79"/>
      <c r="E9" s="79"/>
      <c r="F9" s="79"/>
      <c r="G9" s="79"/>
      <c r="H9" s="79"/>
      <c r="I9" s="79"/>
      <c r="J9" s="79"/>
      <c r="K9" s="510"/>
      <c r="L9" s="79"/>
      <c r="M9" s="79"/>
      <c r="N9" s="501">
        <f>DATOS!B253+DATOS!B318</f>
        <v>0</v>
      </c>
      <c r="O9" s="502"/>
      <c r="P9" s="79"/>
      <c r="Q9" s="79"/>
      <c r="R9" s="79"/>
      <c r="S9" s="79"/>
    </row>
    <row r="10" spans="1:19" ht="15" thickBot="1">
      <c r="A10" s="79"/>
      <c r="B10" s="79"/>
      <c r="C10" s="79"/>
      <c r="D10" s="79"/>
      <c r="E10" s="79"/>
      <c r="F10" s="79"/>
      <c r="G10" s="79"/>
      <c r="H10" s="79"/>
      <c r="I10" s="79"/>
      <c r="J10" s="79"/>
      <c r="K10" s="510"/>
      <c r="L10" s="79"/>
      <c r="M10" s="79"/>
      <c r="N10" s="503"/>
      <c r="O10" s="504"/>
      <c r="P10" s="79"/>
      <c r="Q10" s="79"/>
      <c r="R10" s="79"/>
      <c r="S10" s="79"/>
    </row>
    <row r="11" spans="1:19" ht="15" thickBot="1">
      <c r="A11" s="79"/>
      <c r="B11" s="79"/>
      <c r="C11" s="79"/>
      <c r="D11" s="79"/>
      <c r="E11" s="79"/>
      <c r="F11" s="79"/>
      <c r="G11" s="79"/>
      <c r="H11" s="79"/>
      <c r="I11" s="79"/>
      <c r="J11" s="79"/>
      <c r="K11" s="510"/>
      <c r="L11" s="79"/>
      <c r="M11" s="79"/>
      <c r="N11" s="79"/>
      <c r="O11" s="79"/>
      <c r="P11" s="79"/>
      <c r="Q11" s="79"/>
      <c r="R11" s="79"/>
      <c r="S11" s="79"/>
    </row>
    <row r="12" spans="1:19">
      <c r="A12" s="497" t="s">
        <v>2567</v>
      </c>
      <c r="B12" s="498"/>
      <c r="C12" s="501">
        <f>DATOS!B222+DATOS!B236+DATOS!B253+DATOS!B262+DATOS!B272+DATOS!B291</f>
        <v>0</v>
      </c>
      <c r="D12" s="502"/>
      <c r="E12" s="79"/>
      <c r="F12" s="497" t="s">
        <v>2568</v>
      </c>
      <c r="G12" s="498"/>
      <c r="H12" s="501">
        <f>C12+C23</f>
        <v>355481762.57404</v>
      </c>
      <c r="I12" s="502"/>
      <c r="J12" s="79"/>
      <c r="K12" s="510"/>
      <c r="L12" s="79"/>
      <c r="M12" s="79"/>
      <c r="N12" s="79"/>
      <c r="O12" s="79"/>
      <c r="P12" s="79"/>
      <c r="Q12" s="79"/>
      <c r="R12" s="79"/>
      <c r="S12" s="79"/>
    </row>
    <row r="13" spans="1:19" ht="15" thickBot="1">
      <c r="A13" s="499"/>
      <c r="B13" s="500"/>
      <c r="C13" s="503"/>
      <c r="D13" s="504"/>
      <c r="E13" s="79"/>
      <c r="F13" s="499"/>
      <c r="G13" s="500"/>
      <c r="H13" s="503"/>
      <c r="I13" s="504"/>
      <c r="J13" s="79"/>
      <c r="K13" s="510"/>
      <c r="L13" s="79"/>
      <c r="M13" s="79"/>
      <c r="N13" s="79"/>
      <c r="O13" s="79"/>
      <c r="P13" s="79"/>
      <c r="Q13" s="79"/>
      <c r="R13" s="79"/>
      <c r="S13" s="79"/>
    </row>
    <row r="14" spans="1:19">
      <c r="A14" s="79"/>
      <c r="B14" s="79"/>
      <c r="C14" s="79"/>
      <c r="D14" s="79"/>
      <c r="E14" s="79"/>
      <c r="F14" s="79"/>
      <c r="G14" s="79"/>
      <c r="H14" s="79"/>
      <c r="I14" s="79"/>
      <c r="J14" s="79"/>
      <c r="K14" s="510"/>
      <c r="L14" s="79"/>
      <c r="M14" s="79"/>
      <c r="N14" s="512">
        <f>DATOS!B262+DATOS!B334</f>
        <v>0</v>
      </c>
      <c r="O14" s="513"/>
      <c r="P14" s="79"/>
      <c r="Q14" s="79"/>
      <c r="R14" s="79"/>
      <c r="S14" s="79"/>
    </row>
    <row r="15" spans="1:19" ht="15" thickBot="1">
      <c r="A15" s="79"/>
      <c r="B15" s="79"/>
      <c r="C15" s="79"/>
      <c r="D15" s="79"/>
      <c r="E15" s="79"/>
      <c r="F15" s="79"/>
      <c r="G15" s="79"/>
      <c r="H15" s="79"/>
      <c r="I15" s="79"/>
      <c r="J15" s="79"/>
      <c r="K15" s="510"/>
      <c r="L15" s="79"/>
      <c r="M15" s="79"/>
      <c r="N15" s="514"/>
      <c r="O15" s="515"/>
      <c r="P15" s="79"/>
      <c r="Q15" s="79"/>
      <c r="R15" s="79"/>
      <c r="S15" s="79"/>
    </row>
    <row r="16" spans="1:19">
      <c r="A16" s="79"/>
      <c r="B16" s="79"/>
      <c r="C16" s="79"/>
      <c r="D16" s="79"/>
      <c r="E16" s="79"/>
      <c r="F16" s="79"/>
      <c r="G16" s="79"/>
      <c r="H16" s="79"/>
      <c r="I16" s="79"/>
      <c r="J16" s="79"/>
      <c r="K16" s="510"/>
      <c r="L16" s="79"/>
      <c r="M16" s="79"/>
      <c r="N16" s="79"/>
      <c r="O16" s="79"/>
      <c r="P16" s="79"/>
      <c r="Q16" s="79"/>
      <c r="R16" s="79"/>
      <c r="S16" s="79"/>
    </row>
    <row r="17" spans="1:19" ht="15" thickBot="1">
      <c r="A17" s="79"/>
      <c r="B17" s="79"/>
      <c r="C17" s="79"/>
      <c r="D17" s="79"/>
      <c r="E17" s="79"/>
      <c r="F17" s="79"/>
      <c r="G17" s="79"/>
      <c r="H17" s="79"/>
      <c r="I17" s="79"/>
      <c r="J17" s="79"/>
      <c r="K17" s="510"/>
      <c r="L17" s="79"/>
      <c r="M17" s="79"/>
      <c r="N17" s="79"/>
      <c r="O17" s="79"/>
      <c r="P17" s="79"/>
      <c r="Q17" s="79"/>
      <c r="R17" s="79"/>
      <c r="S17" s="79"/>
    </row>
    <row r="18" spans="1:19">
      <c r="A18" s="79"/>
      <c r="B18" s="79"/>
      <c r="C18" s="79"/>
      <c r="D18" s="79"/>
      <c r="E18" s="79"/>
      <c r="F18" s="79"/>
      <c r="G18" s="79"/>
      <c r="H18" s="79"/>
      <c r="I18" s="79"/>
      <c r="J18" s="79"/>
      <c r="K18" s="510"/>
      <c r="L18" s="79"/>
      <c r="M18" s="79"/>
      <c r="N18" s="501">
        <f>DATOS!B272+DATOS!B349</f>
        <v>0</v>
      </c>
      <c r="O18" s="502"/>
      <c r="P18" s="79"/>
      <c r="Q18" s="79"/>
      <c r="R18" s="79"/>
      <c r="S18" s="79"/>
    </row>
    <row r="19" spans="1:19" ht="15" thickBot="1">
      <c r="A19" s="79"/>
      <c r="B19" s="79"/>
      <c r="C19" s="79"/>
      <c r="D19" s="79"/>
      <c r="E19" s="79"/>
      <c r="F19" s="79"/>
      <c r="G19" s="79"/>
      <c r="H19" s="79"/>
      <c r="I19" s="79"/>
      <c r="J19" s="79"/>
      <c r="K19" s="510"/>
      <c r="L19" s="79"/>
      <c r="M19" s="79"/>
      <c r="N19" s="503"/>
      <c r="O19" s="504"/>
      <c r="P19" s="79"/>
      <c r="Q19" s="79"/>
      <c r="R19" s="79"/>
      <c r="S19" s="79"/>
    </row>
    <row r="20" spans="1:19">
      <c r="A20" s="79"/>
      <c r="B20" s="79"/>
      <c r="C20" s="79"/>
      <c r="D20" s="79"/>
      <c r="E20" s="79"/>
      <c r="F20" s="79"/>
      <c r="G20" s="79"/>
      <c r="H20" s="79"/>
      <c r="I20" s="79"/>
      <c r="J20" s="79"/>
      <c r="K20" s="510"/>
      <c r="L20" s="79"/>
      <c r="M20" s="79"/>
      <c r="N20" s="79"/>
      <c r="O20" s="79"/>
      <c r="P20" s="79"/>
      <c r="Q20" s="79"/>
      <c r="R20" s="79"/>
      <c r="S20" s="79"/>
    </row>
    <row r="21" spans="1:19">
      <c r="A21" s="79"/>
      <c r="B21" s="79"/>
      <c r="C21" s="79"/>
      <c r="D21" s="79"/>
      <c r="E21" s="79"/>
      <c r="F21" s="79"/>
      <c r="G21" s="79"/>
      <c r="H21" s="79"/>
      <c r="I21" s="79"/>
      <c r="J21" s="79"/>
      <c r="K21" s="510"/>
      <c r="L21" s="79"/>
      <c r="M21" s="79"/>
      <c r="N21" s="79"/>
      <c r="O21" s="79"/>
      <c r="P21" s="79"/>
      <c r="Q21" s="79"/>
      <c r="R21" s="79"/>
      <c r="S21" s="79"/>
    </row>
    <row r="22" spans="1:19" ht="15" thickBot="1">
      <c r="A22" s="79"/>
      <c r="B22" s="79"/>
      <c r="C22" s="79"/>
      <c r="D22" s="79"/>
      <c r="E22" s="79"/>
      <c r="F22" s="79"/>
      <c r="G22" s="79"/>
      <c r="H22" s="79"/>
      <c r="I22" s="79"/>
      <c r="J22" s="79"/>
      <c r="K22" s="510"/>
      <c r="L22" s="79"/>
      <c r="M22" s="79"/>
      <c r="N22" s="79"/>
      <c r="O22" s="79"/>
      <c r="P22" s="79"/>
      <c r="Q22" s="79"/>
      <c r="R22" s="79"/>
      <c r="S22" s="79"/>
    </row>
    <row r="23" spans="1:19">
      <c r="A23" s="497" t="s">
        <v>2569</v>
      </c>
      <c r="B23" s="498"/>
      <c r="C23" s="501">
        <f>DATOS!B308+DATOS!B318+DATOS!B334+DATOS!B349+DATOS!B374</f>
        <v>355481762.57404</v>
      </c>
      <c r="D23" s="502"/>
      <c r="E23" s="79"/>
      <c r="F23" s="497" t="s">
        <v>2570</v>
      </c>
      <c r="G23" s="498"/>
      <c r="H23" s="505" t="str">
        <f>DATOS!B80</f>
        <v>SOLAR FOTOVOLTAICO</v>
      </c>
      <c r="I23" s="506"/>
      <c r="J23" s="79"/>
      <c r="K23" s="510"/>
      <c r="L23" s="79"/>
      <c r="M23" s="79"/>
      <c r="N23" s="501">
        <f>DATOS!B291+DATOS!B374</f>
        <v>0</v>
      </c>
      <c r="O23" s="502"/>
      <c r="P23" s="79"/>
      <c r="Q23" s="79"/>
      <c r="R23" s="79"/>
      <c r="S23" s="79"/>
    </row>
    <row r="24" spans="1:19" ht="15" thickBot="1">
      <c r="A24" s="499"/>
      <c r="B24" s="500"/>
      <c r="C24" s="503"/>
      <c r="D24" s="504"/>
      <c r="E24" s="79"/>
      <c r="F24" s="499"/>
      <c r="G24" s="500"/>
      <c r="H24" s="507"/>
      <c r="I24" s="508"/>
      <c r="J24" s="79"/>
      <c r="K24" s="510"/>
      <c r="L24" s="79"/>
      <c r="M24" s="79"/>
      <c r="N24" s="503"/>
      <c r="O24" s="504"/>
      <c r="P24" s="79"/>
      <c r="Q24" s="79"/>
      <c r="R24" s="79"/>
      <c r="S24" s="79"/>
    </row>
    <row r="25" spans="1:19">
      <c r="A25" s="79"/>
      <c r="B25" s="79"/>
      <c r="C25" s="79"/>
      <c r="D25" s="79"/>
      <c r="E25" s="79"/>
      <c r="F25" s="79"/>
      <c r="G25" s="79"/>
      <c r="H25" s="79"/>
      <c r="I25" s="79"/>
      <c r="J25" s="79"/>
      <c r="K25" s="510"/>
      <c r="L25" s="79"/>
      <c r="M25" s="79"/>
      <c r="N25" s="79"/>
      <c r="O25" s="79"/>
      <c r="P25" s="79"/>
      <c r="Q25" s="79"/>
      <c r="R25" s="79"/>
      <c r="S25" s="79"/>
    </row>
    <row r="26" spans="1:19">
      <c r="A26" s="79"/>
      <c r="B26" s="79"/>
      <c r="C26" s="79"/>
      <c r="D26" s="79"/>
      <c r="E26" s="79"/>
      <c r="F26" s="79"/>
      <c r="G26" s="79"/>
      <c r="H26" s="79"/>
      <c r="I26" s="79"/>
      <c r="J26" s="79"/>
      <c r="K26" s="510"/>
      <c r="L26" s="79"/>
      <c r="M26" s="79"/>
      <c r="N26" s="79"/>
      <c r="O26" s="79"/>
      <c r="P26" s="79"/>
      <c r="Q26" s="79"/>
      <c r="R26" s="79"/>
      <c r="S26" s="79"/>
    </row>
    <row r="27" spans="1:19" ht="15" thickBot="1">
      <c r="A27" s="79"/>
      <c r="B27" s="79"/>
      <c r="C27" s="79"/>
      <c r="D27" s="79"/>
      <c r="E27" s="79"/>
      <c r="F27" s="79"/>
      <c r="G27" s="79"/>
      <c r="H27" s="79"/>
      <c r="I27" s="79"/>
      <c r="J27" s="79"/>
      <c r="K27" s="511"/>
      <c r="L27" s="79"/>
      <c r="M27" s="79"/>
      <c r="N27" s="79"/>
      <c r="O27" s="79"/>
      <c r="P27" s="79"/>
      <c r="Q27" s="79"/>
      <c r="R27" s="79"/>
      <c r="S27" s="79"/>
    </row>
    <row r="28" spans="1:19">
      <c r="A28" s="79"/>
      <c r="B28" s="79"/>
      <c r="C28" s="79"/>
      <c r="D28" s="79"/>
      <c r="E28" s="79"/>
      <c r="F28" s="79"/>
      <c r="G28" s="79"/>
      <c r="H28" s="79"/>
      <c r="I28" s="79"/>
      <c r="J28" s="79"/>
      <c r="K28" s="79"/>
      <c r="L28" s="79"/>
      <c r="M28" s="79"/>
      <c r="N28" s="79"/>
      <c r="O28" s="79"/>
      <c r="P28" s="79"/>
      <c r="Q28" s="79"/>
      <c r="R28" s="79"/>
      <c r="S28" s="79"/>
    </row>
    <row r="29" spans="1:19">
      <c r="A29" s="79"/>
      <c r="B29" s="79"/>
      <c r="C29" s="79"/>
      <c r="D29" s="79"/>
      <c r="E29" s="79"/>
      <c r="F29" s="79"/>
      <c r="G29" s="79"/>
      <c r="H29" s="79"/>
      <c r="I29" s="79"/>
      <c r="J29" s="79"/>
      <c r="K29" s="79"/>
      <c r="L29" s="79"/>
      <c r="M29" s="79"/>
      <c r="N29" s="79"/>
      <c r="O29" s="79"/>
      <c r="P29" s="79"/>
      <c r="Q29" s="79"/>
      <c r="R29" s="79"/>
      <c r="S29" s="79"/>
    </row>
    <row r="30" spans="1:19">
      <c r="A30" s="79"/>
      <c r="B30" s="79"/>
      <c r="C30" s="79"/>
      <c r="D30" s="79"/>
      <c r="E30" s="79"/>
      <c r="F30" s="79"/>
      <c r="G30" s="79"/>
      <c r="H30" s="79"/>
      <c r="I30" s="79"/>
      <c r="J30" s="79"/>
      <c r="K30" s="79"/>
      <c r="L30" s="79"/>
      <c r="M30" s="79"/>
      <c r="N30" s="79"/>
      <c r="O30" s="79"/>
      <c r="P30" s="79"/>
      <c r="Q30" s="79"/>
      <c r="R30" s="79"/>
      <c r="S30" s="79"/>
    </row>
    <row r="31" spans="1:19">
      <c r="A31" s="79"/>
      <c r="B31" s="79"/>
      <c r="C31" s="79"/>
      <c r="D31" s="79"/>
      <c r="E31" s="79"/>
      <c r="F31" s="79"/>
      <c r="G31" s="79"/>
      <c r="H31" s="79"/>
      <c r="I31" s="79"/>
      <c r="J31" s="79"/>
      <c r="K31" s="79"/>
      <c r="L31" s="79"/>
      <c r="M31" s="79"/>
      <c r="N31" s="79"/>
      <c r="O31" s="79"/>
      <c r="P31" s="79"/>
      <c r="Q31" s="79"/>
      <c r="R31" s="79"/>
      <c r="S31" s="79"/>
    </row>
    <row r="32" spans="1:19">
      <c r="A32" s="79"/>
      <c r="B32" s="79"/>
      <c r="C32" s="79"/>
      <c r="D32" s="79"/>
      <c r="E32" s="79"/>
      <c r="F32" s="79"/>
      <c r="G32" s="79"/>
      <c r="H32" s="79"/>
      <c r="I32" s="79"/>
      <c r="J32" s="79"/>
      <c r="K32" s="79"/>
      <c r="L32" s="79"/>
      <c r="M32" s="79"/>
      <c r="N32" s="79"/>
      <c r="O32" s="79"/>
      <c r="P32" s="79"/>
      <c r="Q32" s="79"/>
      <c r="R32" s="79"/>
      <c r="S32" s="79"/>
    </row>
  </sheetData>
  <mergeCells count="15">
    <mergeCell ref="A1:Q2"/>
    <mergeCell ref="A12:B13"/>
    <mergeCell ref="C12:D13"/>
    <mergeCell ref="A23:B24"/>
    <mergeCell ref="C23:D24"/>
    <mergeCell ref="F12:G13"/>
    <mergeCell ref="H12:I13"/>
    <mergeCell ref="F23:G24"/>
    <mergeCell ref="H23:I24"/>
    <mergeCell ref="K4:K27"/>
    <mergeCell ref="N23:O24"/>
    <mergeCell ref="N4:O5"/>
    <mergeCell ref="N9:O10"/>
    <mergeCell ref="N14:O15"/>
    <mergeCell ref="N18:O1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96F1-4C9E-4D6E-BCCE-CAA5C18879CD}">
  <dimension ref="A1:O32"/>
  <sheetViews>
    <sheetView showGridLines="0" showRowColHeaders="0" zoomScaleNormal="100" workbookViewId="0">
      <selection sqref="A1:N2"/>
    </sheetView>
  </sheetViews>
  <sheetFormatPr baseColWidth="10" defaultColWidth="11.453125" defaultRowHeight="14.5"/>
  <cols>
    <col min="1" max="1" width="29.54296875" bestFit="1" customWidth="1"/>
    <col min="2" max="2" width="14" customWidth="1"/>
    <col min="3" max="3" width="1.26953125" customWidth="1"/>
    <col min="4" max="4" width="39.453125" bestFit="1" customWidth="1"/>
    <col min="5" max="14" width="14" customWidth="1"/>
  </cols>
  <sheetData>
    <row r="1" spans="1:15">
      <c r="A1" s="401" t="s">
        <v>2571</v>
      </c>
      <c r="B1" s="402"/>
      <c r="C1" s="402"/>
      <c r="D1" s="402"/>
      <c r="E1" s="402"/>
      <c r="F1" s="402"/>
      <c r="G1" s="402"/>
      <c r="H1" s="402"/>
      <c r="I1" s="402"/>
      <c r="J1" s="402"/>
      <c r="K1" s="402"/>
      <c r="L1" s="402"/>
      <c r="M1" s="402"/>
      <c r="N1" s="403"/>
      <c r="O1" s="79"/>
    </row>
    <row r="2" spans="1:15" ht="15" thickBot="1">
      <c r="A2" s="404"/>
      <c r="B2" s="405"/>
      <c r="C2" s="405"/>
      <c r="D2" s="405"/>
      <c r="E2" s="405"/>
      <c r="F2" s="405"/>
      <c r="G2" s="405"/>
      <c r="H2" s="405"/>
      <c r="I2" s="405"/>
      <c r="J2" s="405"/>
      <c r="K2" s="405"/>
      <c r="L2" s="405"/>
      <c r="M2" s="405"/>
      <c r="N2" s="406"/>
      <c r="O2" s="79"/>
    </row>
    <row r="3" spans="1:15" ht="15" thickBot="1">
      <c r="A3" s="79"/>
      <c r="B3" s="79"/>
      <c r="C3" s="79"/>
      <c r="D3" s="79"/>
      <c r="E3" s="79"/>
      <c r="F3" s="79"/>
      <c r="G3" s="79"/>
      <c r="H3" s="79"/>
      <c r="I3" s="79"/>
      <c r="J3" s="79"/>
      <c r="K3" s="79"/>
      <c r="L3" s="79"/>
      <c r="M3" s="79"/>
      <c r="N3" s="79"/>
      <c r="O3" s="79"/>
    </row>
    <row r="4" spans="1:15">
      <c r="A4" s="516" t="s">
        <v>2572</v>
      </c>
      <c r="B4" s="517"/>
      <c r="C4" s="79"/>
      <c r="D4" s="516" t="s">
        <v>2573</v>
      </c>
      <c r="E4" s="517"/>
      <c r="F4" s="79"/>
      <c r="G4" s="518" t="s">
        <v>2574</v>
      </c>
      <c r="H4" s="519"/>
      <c r="I4" s="519"/>
      <c r="J4" s="519"/>
      <c r="K4" s="520"/>
      <c r="L4" s="79"/>
      <c r="M4" s="79"/>
      <c r="N4" s="79"/>
      <c r="O4" s="79"/>
    </row>
    <row r="5" spans="1:15">
      <c r="A5" s="83" t="str">
        <f>DATOS!A112</f>
        <v>Suministros para la operación</v>
      </c>
      <c r="B5" s="84">
        <f>DATOS!B112</f>
        <v>0</v>
      </c>
      <c r="C5" s="79"/>
      <c r="D5" s="83" t="str">
        <f>DATOS!A169</f>
        <v>Formación continua a la comunidad</v>
      </c>
      <c r="E5" s="84">
        <f>DATOS!B169</f>
        <v>200000</v>
      </c>
      <c r="F5" s="79"/>
      <c r="G5" s="521"/>
      <c r="H5" s="522"/>
      <c r="I5" s="522"/>
      <c r="J5" s="522"/>
      <c r="K5" s="523"/>
      <c r="L5" s="79"/>
      <c r="M5" s="79"/>
      <c r="N5" s="79"/>
      <c r="O5" s="79"/>
    </row>
    <row r="6" spans="1:15">
      <c r="A6" s="83" t="str">
        <f>DATOS!A114</f>
        <v>Arrendamiento de inmuebles</v>
      </c>
      <c r="B6" s="84">
        <f>DATOS!B114</f>
        <v>0</v>
      </c>
      <c r="C6" s="79"/>
      <c r="D6" s="83" t="str">
        <f>DATOS!A171</f>
        <v>Comunicación y divulgación</v>
      </c>
      <c r="E6" s="84">
        <f>DATOS!B171</f>
        <v>150000</v>
      </c>
      <c r="F6" s="79"/>
      <c r="G6" s="521"/>
      <c r="H6" s="522"/>
      <c r="I6" s="522"/>
      <c r="J6" s="522"/>
      <c r="K6" s="523"/>
      <c r="L6" s="79"/>
      <c r="M6" s="79"/>
      <c r="N6" s="79"/>
      <c r="O6" s="79"/>
    </row>
    <row r="7" spans="1:15">
      <c r="A7" s="83" t="str">
        <f>DATOS!A116</f>
        <v>Servicios públicos</v>
      </c>
      <c r="B7" s="84">
        <f>DATOS!B116</f>
        <v>150000</v>
      </c>
      <c r="C7" s="79"/>
      <c r="D7" s="83" t="str">
        <f>DATOS!A173</f>
        <v>Impuesto de Industria y Comercio</v>
      </c>
      <c r="E7" s="84">
        <f>DATOS!B173</f>
        <v>0</v>
      </c>
      <c r="F7" s="79"/>
      <c r="G7" s="521"/>
      <c r="H7" s="522"/>
      <c r="I7" s="522"/>
      <c r="J7" s="522"/>
      <c r="K7" s="523"/>
      <c r="L7" s="79"/>
      <c r="M7" s="79"/>
      <c r="N7" s="79"/>
      <c r="O7" s="79"/>
    </row>
    <row r="8" spans="1:15">
      <c r="A8" s="83" t="str">
        <f>DATOS!A118</f>
        <v>Celulares</v>
      </c>
      <c r="B8" s="84">
        <f>DATOS!B118</f>
        <v>50000</v>
      </c>
      <c r="C8" s="79"/>
      <c r="D8" s="83" t="str">
        <f>DATOS!A175</f>
        <v>Impuesto predial</v>
      </c>
      <c r="E8" s="84">
        <f>DATOS!B175</f>
        <v>70000</v>
      </c>
      <c r="F8" s="79"/>
      <c r="G8" s="521"/>
      <c r="H8" s="522"/>
      <c r="I8" s="522"/>
      <c r="J8" s="522"/>
      <c r="K8" s="523"/>
      <c r="L8" s="79"/>
      <c r="M8" s="79"/>
      <c r="N8" s="79"/>
      <c r="O8" s="79"/>
    </row>
    <row r="9" spans="1:15">
      <c r="A9" s="83" t="str">
        <f>DATOS!A120</f>
        <v>Viáticos</v>
      </c>
      <c r="B9" s="84">
        <f>DATOS!B120</f>
        <v>0</v>
      </c>
      <c r="C9" s="79"/>
      <c r="D9" s="83" t="str">
        <f>DATOS!A177</f>
        <v>Gravamen por movimiento financiero (4 x mil)</v>
      </c>
      <c r="E9" s="84">
        <f>DATOS!B177</f>
        <v>0</v>
      </c>
      <c r="F9" s="79"/>
      <c r="G9" s="521"/>
      <c r="H9" s="522"/>
      <c r="I9" s="522"/>
      <c r="J9" s="522"/>
      <c r="K9" s="523"/>
      <c r="L9" s="79"/>
      <c r="M9" s="79"/>
      <c r="N9" s="79"/>
      <c r="O9" s="79"/>
    </row>
    <row r="10" spans="1:15">
      <c r="A10" s="83" t="str">
        <f>DATOS!A122</f>
        <v>Licencia software</v>
      </c>
      <c r="B10" s="84">
        <f>DATOS!B122</f>
        <v>50000</v>
      </c>
      <c r="C10" s="79"/>
      <c r="D10" s="83" t="str">
        <f>DATOS!A179</f>
        <v>Póliza de cumplimiento</v>
      </c>
      <c r="E10" s="84">
        <f>DATOS!B179</f>
        <v>0</v>
      </c>
      <c r="F10" s="79"/>
      <c r="G10" s="521"/>
      <c r="H10" s="522"/>
      <c r="I10" s="522"/>
      <c r="J10" s="522"/>
      <c r="K10" s="523"/>
      <c r="L10" s="79"/>
      <c r="M10" s="79"/>
      <c r="N10" s="79"/>
      <c r="O10" s="79"/>
    </row>
    <row r="11" spans="1:15">
      <c r="A11" s="83" t="str">
        <f>DATOS!A124</f>
        <v>Papelería</v>
      </c>
      <c r="B11" s="84">
        <f>DATOS!B124</f>
        <v>50000</v>
      </c>
      <c r="C11" s="79"/>
      <c r="D11" s="83" t="str">
        <f>DATOS!A181</f>
        <v>Póliza de responsabilidad civil extracontractual</v>
      </c>
      <c r="E11" s="84">
        <f>DATOS!B181</f>
        <v>0</v>
      </c>
      <c r="F11" s="79"/>
      <c r="G11" s="521"/>
      <c r="H11" s="522"/>
      <c r="I11" s="522"/>
      <c r="J11" s="522"/>
      <c r="K11" s="523"/>
      <c r="L11" s="79"/>
      <c r="M11" s="79"/>
      <c r="N11" s="79"/>
      <c r="O11" s="79"/>
    </row>
    <row r="12" spans="1:15">
      <c r="A12" s="83" t="str">
        <f>DATOS!A126</f>
        <v>Elementos de aseo y cafetería</v>
      </c>
      <c r="B12" s="84">
        <f>DATOS!B126</f>
        <v>50000</v>
      </c>
      <c r="C12" s="79"/>
      <c r="D12" s="83" t="str">
        <f>DATOS!A183</f>
        <v>Póliza pago de salarios y prestaciones</v>
      </c>
      <c r="E12" s="84">
        <f>DATOS!B183</f>
        <v>0</v>
      </c>
      <c r="F12" s="79"/>
      <c r="G12" s="521"/>
      <c r="H12" s="522"/>
      <c r="I12" s="522"/>
      <c r="J12" s="522"/>
      <c r="K12" s="523"/>
      <c r="L12" s="79"/>
      <c r="M12" s="79"/>
      <c r="N12" s="79"/>
      <c r="O12" s="79"/>
    </row>
    <row r="13" spans="1:15">
      <c r="A13" s="83" t="str">
        <f>DATOS!A128</f>
        <v>Software operación</v>
      </c>
      <c r="B13" s="84">
        <f>DATOS!B128</f>
        <v>0</v>
      </c>
      <c r="C13" s="79"/>
      <c r="D13" s="83" t="str">
        <f>DATOS!A185</f>
        <v>Otras pólizas</v>
      </c>
      <c r="E13" s="84">
        <f>DATOS!B185</f>
        <v>0</v>
      </c>
      <c r="F13" s="79"/>
      <c r="G13" s="521"/>
      <c r="H13" s="522"/>
      <c r="I13" s="522"/>
      <c r="J13" s="522"/>
      <c r="K13" s="523"/>
      <c r="L13" s="79"/>
      <c r="M13" s="79"/>
      <c r="N13" s="79"/>
      <c r="O13" s="79"/>
    </row>
    <row r="14" spans="1:15">
      <c r="A14" s="83" t="str">
        <f>DATOS!A130</f>
        <v>Honorarios</v>
      </c>
      <c r="B14" s="84">
        <f>DATOS!B130</f>
        <v>300000</v>
      </c>
      <c r="C14" s="79"/>
      <c r="D14" s="83" t="str">
        <f>DATOS!A187</f>
        <v>Comisiones bancarias</v>
      </c>
      <c r="E14" s="84">
        <f>DATOS!B187</f>
        <v>100000</v>
      </c>
      <c r="F14" s="79"/>
      <c r="G14" s="521"/>
      <c r="H14" s="522"/>
      <c r="I14" s="522"/>
      <c r="J14" s="522"/>
      <c r="K14" s="523"/>
      <c r="L14" s="79"/>
      <c r="M14" s="79"/>
      <c r="N14" s="79"/>
      <c r="O14" s="79"/>
    </row>
    <row r="15" spans="1:15" ht="15" thickBot="1">
      <c r="A15" s="83" t="str">
        <f>DATOS!A132</f>
        <v>Renting de maquinaria y equipos</v>
      </c>
      <c r="B15" s="84">
        <f>DATOS!B132</f>
        <v>0</v>
      </c>
      <c r="C15" s="79"/>
      <c r="D15" s="83" t="str">
        <f>DATOS!A189</f>
        <v>TOTAL GASTOS OPEX</v>
      </c>
      <c r="E15" s="84">
        <f>DATOS!B189</f>
        <v>520000</v>
      </c>
      <c r="F15" s="79"/>
      <c r="G15" s="521"/>
      <c r="H15" s="522"/>
      <c r="I15" s="522"/>
      <c r="J15" s="522"/>
      <c r="K15" s="523"/>
      <c r="L15" s="79"/>
      <c r="M15" s="79"/>
      <c r="N15" s="79"/>
      <c r="O15" s="79"/>
    </row>
    <row r="16" spans="1:15">
      <c r="A16" s="83" t="str">
        <f>DATOS!A134</f>
        <v>Repuestos y piezas de recambio</v>
      </c>
      <c r="B16" s="84">
        <f>DATOS!B134</f>
        <v>0</v>
      </c>
      <c r="C16" s="79"/>
      <c r="D16" s="245" t="s">
        <v>2575</v>
      </c>
      <c r="E16" s="246" t="s">
        <v>2265</v>
      </c>
      <c r="F16" s="246" t="s">
        <v>2266</v>
      </c>
      <c r="G16" s="246" t="s">
        <v>2267</v>
      </c>
      <c r="H16" s="246" t="s">
        <v>2268</v>
      </c>
      <c r="I16" s="246" t="s">
        <v>2269</v>
      </c>
      <c r="J16" s="246" t="s">
        <v>2270</v>
      </c>
      <c r="K16" s="246" t="s">
        <v>2271</v>
      </c>
      <c r="L16" s="246" t="s">
        <v>2272</v>
      </c>
      <c r="M16" s="246" t="s">
        <v>2273</v>
      </c>
      <c r="N16" s="247" t="s">
        <v>2274</v>
      </c>
      <c r="O16" s="79"/>
    </row>
    <row r="17" spans="1:15">
      <c r="A17" s="83" t="str">
        <f>DATOS!A136</f>
        <v>Gastos por eliminación de residuos</v>
      </c>
      <c r="B17" s="84">
        <f>DATOS!B136</f>
        <v>0</v>
      </c>
      <c r="C17" s="79"/>
      <c r="D17" s="83" t="s">
        <v>2576</v>
      </c>
      <c r="E17" s="259">
        <f>B19*12+B23*12</f>
        <v>111435992</v>
      </c>
      <c r="F17" s="259">
        <f>E17*(1+'PROYECCIONES MACROECONÓMICAS'!$B$9)</f>
        <v>120350871.36000001</v>
      </c>
      <c r="G17" s="259">
        <f>F17*(1+'PROYECCIONES MACROECONÓMICAS'!$B$9)</f>
        <v>129978941.06880002</v>
      </c>
      <c r="H17" s="259">
        <f>G17*(1+'PROYECCIONES MACROECONÓMICAS'!$B$9)</f>
        <v>140377256.35430402</v>
      </c>
      <c r="I17" s="259">
        <f>H17*(1+'PROYECCIONES MACROECONÓMICAS'!$B$9)</f>
        <v>151607436.86264834</v>
      </c>
      <c r="J17" s="259">
        <f>I17*(1+'PROYECCIONES MACROECONÓMICAS'!$B$9)</f>
        <v>163736031.81166023</v>
      </c>
      <c r="K17" s="259">
        <f>J17*(1+'PROYECCIONES MACROECONÓMICAS'!$B$9)</f>
        <v>176834914.35659307</v>
      </c>
      <c r="L17" s="259">
        <f>K17*(1+'PROYECCIONES MACROECONÓMICAS'!$B$9)</f>
        <v>190981707.50512055</v>
      </c>
      <c r="M17" s="259">
        <f>L17*(1+'PROYECCIONES MACROECONÓMICAS'!$B$9)</f>
        <v>206260244.1055302</v>
      </c>
      <c r="N17" s="100">
        <f>M17*(1+'PROYECCIONES MACROECONÓMICAS'!$B$9)</f>
        <v>222761063.63397264</v>
      </c>
      <c r="O17" s="79"/>
    </row>
    <row r="18" spans="1:15">
      <c r="A18" s="83" t="str">
        <f>DATOS!A138</f>
        <v>Salarios</v>
      </c>
      <c r="B18" s="84">
        <f>DATOS!B138</f>
        <v>7951332.666666666</v>
      </c>
      <c r="C18" s="79"/>
      <c r="D18" s="83" t="s">
        <v>2577</v>
      </c>
      <c r="E18" s="259">
        <f>E15*12</f>
        <v>6240000</v>
      </c>
      <c r="F18" s="259">
        <f>E18*(1+'PROYECCIONES MACROECONÓMICAS'!$B$7)</f>
        <v>6608160</v>
      </c>
      <c r="G18" s="259">
        <f>F18*(1+'PROYECCIONES MACROECONÓMICAS'!$B$7)</f>
        <v>6998041.4399999995</v>
      </c>
      <c r="H18" s="259">
        <f>G18*(1+'PROYECCIONES MACROECONÓMICAS'!$B$7)</f>
        <v>7410925.8849599995</v>
      </c>
      <c r="I18" s="259">
        <f>H18*(1+'PROYECCIONES MACROECONÓMICAS'!$B$7)</f>
        <v>7848170.5121726394</v>
      </c>
      <c r="J18" s="259">
        <f>I18*(1+'PROYECCIONES MACROECONÓMICAS'!$B$7)</f>
        <v>8311212.5723908246</v>
      </c>
      <c r="K18" s="259">
        <f>J18*(1+'PROYECCIONES MACROECONÓMICAS'!$B$7)</f>
        <v>8801574.1141618825</v>
      </c>
      <c r="L18" s="259">
        <f>K18*(1+'PROYECCIONES MACROECONÓMICAS'!$B$7)</f>
        <v>9320866.9868974332</v>
      </c>
      <c r="M18" s="259">
        <f>L18*(1+'PROYECCIONES MACROECONÓMICAS'!$B$7)</f>
        <v>9870798.1391243804</v>
      </c>
      <c r="N18" s="100">
        <f>M18*(1+'PROYECCIONES MACROECONÓMICAS'!$B$7)</f>
        <v>10453175.229332719</v>
      </c>
      <c r="O18" s="79"/>
    </row>
    <row r="19" spans="1:15" ht="15" thickBot="1">
      <c r="A19" s="103" t="str">
        <f>DATOS!A140</f>
        <v>TOTAL</v>
      </c>
      <c r="B19" s="258">
        <f>DATOS!B140</f>
        <v>8601332.666666666</v>
      </c>
      <c r="C19" s="79"/>
      <c r="D19" s="103" t="s">
        <v>2578</v>
      </c>
      <c r="E19" s="260">
        <f>SUM(E17:E18)</f>
        <v>117675992</v>
      </c>
      <c r="F19" s="260">
        <f t="shared" ref="F19:N19" si="0">SUM(F17:F18)</f>
        <v>126959031.36000001</v>
      </c>
      <c r="G19" s="260">
        <f t="shared" si="0"/>
        <v>136976982.50880003</v>
      </c>
      <c r="H19" s="260">
        <f t="shared" si="0"/>
        <v>147788182.23926401</v>
      </c>
      <c r="I19" s="260">
        <f t="shared" si="0"/>
        <v>159455607.37482098</v>
      </c>
      <c r="J19" s="260">
        <f t="shared" si="0"/>
        <v>172047244.38405105</v>
      </c>
      <c r="K19" s="260">
        <f t="shared" si="0"/>
        <v>185636488.47075495</v>
      </c>
      <c r="L19" s="260">
        <f t="shared" si="0"/>
        <v>200302574.49201798</v>
      </c>
      <c r="M19" s="260">
        <f t="shared" si="0"/>
        <v>216131042.2446546</v>
      </c>
      <c r="N19" s="261">
        <f t="shared" si="0"/>
        <v>233214238.86330536</v>
      </c>
      <c r="O19" s="79"/>
    </row>
    <row r="20" spans="1:15" ht="15" thickBot="1">
      <c r="A20" s="79"/>
      <c r="B20" s="79"/>
      <c r="C20" s="79"/>
      <c r="D20" s="79"/>
      <c r="E20" s="79"/>
      <c r="F20" s="79"/>
      <c r="G20" s="79"/>
      <c r="H20" s="79"/>
      <c r="I20" s="79"/>
      <c r="J20" s="79"/>
      <c r="K20" s="79"/>
      <c r="L20" s="79"/>
      <c r="M20" s="79"/>
      <c r="N20" s="79"/>
      <c r="O20" s="79"/>
    </row>
    <row r="21" spans="1:15">
      <c r="A21" s="81" t="str">
        <f>DATOS!A163</f>
        <v>Mantenimiento preventivo</v>
      </c>
      <c r="B21" s="82">
        <f>DATOS!B163</f>
        <v>600000</v>
      </c>
      <c r="C21" s="79"/>
      <c r="D21" s="79"/>
      <c r="E21" s="79"/>
      <c r="F21" s="79"/>
      <c r="G21" s="79"/>
      <c r="H21" s="79"/>
      <c r="I21" s="79"/>
      <c r="J21" s="79"/>
      <c r="K21" s="79"/>
      <c r="L21" s="79"/>
      <c r="M21" s="79"/>
      <c r="N21" s="79"/>
      <c r="O21" s="79"/>
    </row>
    <row r="22" spans="1:15">
      <c r="A22" s="83" t="str">
        <f>DATOS!A164</f>
        <v>Mantenimiento correctivo</v>
      </c>
      <c r="B22" s="84">
        <f>DATOS!B164</f>
        <v>85000</v>
      </c>
      <c r="C22" s="79"/>
      <c r="D22" s="79"/>
      <c r="E22" s="79"/>
      <c r="F22" s="79"/>
      <c r="G22" s="79"/>
      <c r="H22" s="79"/>
      <c r="I22" s="79"/>
      <c r="J22" s="79"/>
      <c r="K22" s="79"/>
      <c r="L22" s="79"/>
      <c r="M22" s="79"/>
      <c r="N22" s="79"/>
      <c r="O22" s="79"/>
    </row>
    <row r="23" spans="1:15" ht="15" thickBot="1">
      <c r="A23" s="103" t="str">
        <f>DATOS!A165</f>
        <v>TOTAL</v>
      </c>
      <c r="B23" s="258">
        <f>DATOS!B165</f>
        <v>685000</v>
      </c>
      <c r="C23" s="79"/>
      <c r="D23" s="79"/>
      <c r="E23" s="79"/>
      <c r="F23" s="79"/>
      <c r="G23" s="79"/>
      <c r="H23" s="79"/>
      <c r="I23" s="79"/>
      <c r="J23" s="79"/>
      <c r="K23" s="79"/>
      <c r="L23" s="79"/>
      <c r="M23" s="79"/>
      <c r="N23" s="79"/>
      <c r="O23" s="79"/>
    </row>
    <row r="24" spans="1:15">
      <c r="A24" s="79"/>
      <c r="B24" s="79"/>
      <c r="C24" s="79"/>
      <c r="D24" s="79"/>
      <c r="E24" s="79"/>
      <c r="F24" s="79"/>
      <c r="G24" s="79"/>
      <c r="H24" s="79"/>
      <c r="I24" s="79"/>
      <c r="J24" s="79"/>
      <c r="K24" s="79"/>
      <c r="L24" s="79"/>
      <c r="M24" s="79"/>
      <c r="N24" s="79"/>
      <c r="O24" s="79"/>
    </row>
    <row r="25" spans="1:15">
      <c r="A25" s="79"/>
      <c r="B25" s="389">
        <f>IF(E17=0,0,E17/$E$19)</f>
        <v>0.94697304102607438</v>
      </c>
      <c r="C25" s="79"/>
      <c r="D25" s="79"/>
      <c r="E25" s="79"/>
      <c r="F25" s="79"/>
      <c r="G25" s="79"/>
      <c r="H25" s="79"/>
      <c r="I25" s="79"/>
      <c r="J25" s="79"/>
      <c r="K25" s="79"/>
      <c r="L25" s="79"/>
      <c r="M25" s="79"/>
      <c r="N25" s="79"/>
      <c r="O25" s="79"/>
    </row>
    <row r="26" spans="1:15">
      <c r="A26" s="79"/>
      <c r="B26" s="390">
        <f>1-B25</f>
        <v>5.302695897392562E-2</v>
      </c>
      <c r="C26" s="79"/>
      <c r="D26" s="79"/>
      <c r="E26" s="79"/>
      <c r="F26" s="79"/>
      <c r="G26" s="79"/>
      <c r="H26" s="79"/>
      <c r="I26" s="79"/>
      <c r="J26" s="79"/>
      <c r="K26" s="79"/>
      <c r="L26" s="79"/>
      <c r="M26" s="79"/>
      <c r="N26" s="79"/>
      <c r="O26" s="79"/>
    </row>
    <row r="27" spans="1:15">
      <c r="A27" s="79"/>
      <c r="B27" s="79"/>
      <c r="C27" s="79"/>
      <c r="D27" s="79"/>
      <c r="E27" s="79"/>
      <c r="F27" s="79"/>
      <c r="G27" s="79"/>
      <c r="H27" s="79"/>
      <c r="I27" s="79"/>
      <c r="J27" s="79"/>
      <c r="K27" s="79"/>
      <c r="L27" s="79"/>
      <c r="M27" s="79"/>
      <c r="N27" s="79"/>
      <c r="O27" s="79"/>
    </row>
    <row r="28" spans="1:15">
      <c r="A28" s="79"/>
      <c r="B28" s="79"/>
      <c r="C28" s="79"/>
      <c r="D28" s="79"/>
      <c r="E28" s="79"/>
      <c r="F28" s="79"/>
      <c r="G28" s="79"/>
      <c r="H28" s="79"/>
      <c r="I28" s="79"/>
      <c r="J28" s="79"/>
      <c r="K28" s="79"/>
      <c r="L28" s="79"/>
      <c r="M28" s="79"/>
      <c r="N28" s="79"/>
      <c r="O28" s="79"/>
    </row>
    <row r="29" spans="1:15">
      <c r="A29" s="79"/>
      <c r="B29" s="79"/>
      <c r="C29" s="79"/>
      <c r="D29" s="79"/>
      <c r="E29" s="79"/>
      <c r="F29" s="79"/>
      <c r="G29" s="79"/>
      <c r="H29" s="79"/>
      <c r="I29" s="79"/>
      <c r="J29" s="79"/>
      <c r="K29" s="79"/>
      <c r="L29" s="79"/>
      <c r="M29" s="79"/>
      <c r="N29" s="79"/>
      <c r="O29" s="79"/>
    </row>
    <row r="30" spans="1:15">
      <c r="A30" s="79"/>
      <c r="B30" s="79"/>
      <c r="C30" s="79"/>
      <c r="D30" s="79"/>
      <c r="E30" s="257"/>
      <c r="F30" s="257"/>
      <c r="G30" s="257"/>
      <c r="H30" s="257"/>
      <c r="I30" s="257"/>
      <c r="J30" s="257"/>
      <c r="K30" s="257"/>
      <c r="L30" s="257"/>
      <c r="M30" s="257"/>
      <c r="N30" s="257"/>
      <c r="O30" s="79"/>
    </row>
    <row r="31" spans="1:15">
      <c r="A31" s="79"/>
      <c r="B31" s="79"/>
      <c r="C31" s="79"/>
      <c r="D31" s="79"/>
      <c r="E31" s="79"/>
      <c r="F31" s="79"/>
      <c r="G31" s="79"/>
      <c r="H31" s="79"/>
      <c r="I31" s="79"/>
      <c r="J31" s="79"/>
      <c r="K31" s="79"/>
      <c r="L31" s="79"/>
      <c r="M31" s="79"/>
      <c r="N31" s="79"/>
      <c r="O31" s="79"/>
    </row>
    <row r="32" spans="1:15">
      <c r="A32" s="79"/>
      <c r="B32" s="79"/>
      <c r="C32" s="79"/>
      <c r="D32" s="79"/>
      <c r="E32" s="79"/>
      <c r="F32" s="79"/>
      <c r="G32" s="79"/>
      <c r="H32" s="79"/>
      <c r="I32" s="79"/>
      <c r="J32" s="79"/>
      <c r="K32" s="79"/>
      <c r="L32" s="79"/>
      <c r="M32" s="79"/>
      <c r="N32" s="79"/>
      <c r="O32" s="79"/>
    </row>
  </sheetData>
  <mergeCells count="4">
    <mergeCell ref="A1:N2"/>
    <mergeCell ref="A4:B4"/>
    <mergeCell ref="D4:E4"/>
    <mergeCell ref="G4:K15"/>
  </mergeCells>
  <phoneticPr fontId="1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447CB-BD1C-4363-8BE9-04E62F31EDFE}">
  <dimension ref="A1:T32"/>
  <sheetViews>
    <sheetView showGridLines="0" showRowColHeaders="0" workbookViewId="0">
      <selection sqref="A1:F1"/>
    </sheetView>
  </sheetViews>
  <sheetFormatPr baseColWidth="10" defaultColWidth="11.453125" defaultRowHeight="14.5"/>
  <sheetData>
    <row r="1" spans="1:20" ht="26.5" thickBot="1">
      <c r="A1" s="583" t="s">
        <v>2579</v>
      </c>
      <c r="B1" s="583"/>
      <c r="C1" s="583"/>
      <c r="D1" s="583"/>
      <c r="E1" s="583"/>
      <c r="F1" s="583"/>
      <c r="G1" s="544" t="s">
        <v>2530</v>
      </c>
      <c r="H1" s="545"/>
      <c r="I1" s="545"/>
      <c r="J1" s="545"/>
      <c r="K1" s="545"/>
      <c r="L1" s="546"/>
      <c r="M1" s="544" t="s">
        <v>2580</v>
      </c>
      <c r="N1" s="545"/>
      <c r="O1" s="545"/>
      <c r="P1" s="545"/>
      <c r="Q1" s="546"/>
      <c r="R1" s="538" t="s">
        <v>2581</v>
      </c>
      <c r="S1" s="79"/>
    </row>
    <row r="2" spans="1:20" ht="14.5" customHeight="1">
      <c r="A2" s="44"/>
      <c r="B2" s="45"/>
      <c r="C2" s="45"/>
      <c r="D2" s="45"/>
      <c r="E2" s="45"/>
      <c r="F2" s="46"/>
      <c r="G2" s="547" t="str">
        <f>DATOS!B43</f>
        <v>NO APLICA PRIORIZACIÓN PARA ESTA COMUNIDAD</v>
      </c>
      <c r="H2" s="548"/>
      <c r="I2" s="548"/>
      <c r="J2" s="548"/>
      <c r="K2" s="548"/>
      <c r="L2" s="549"/>
      <c r="M2" s="547" t="str">
        <f>DATOS!B25</f>
        <v>EDUCACIÓN MEDIA</v>
      </c>
      <c r="N2" s="548"/>
      <c r="O2" s="548"/>
      <c r="P2" s="548"/>
      <c r="Q2" s="549"/>
      <c r="R2" s="539"/>
      <c r="S2" s="79"/>
    </row>
    <row r="3" spans="1:20" ht="15" customHeight="1" thickBot="1">
      <c r="A3" s="47"/>
      <c r="B3" s="43"/>
      <c r="C3" s="43"/>
      <c r="D3" s="43"/>
      <c r="E3" s="43"/>
      <c r="F3" s="48"/>
      <c r="G3" s="550"/>
      <c r="H3" s="551"/>
      <c r="I3" s="551"/>
      <c r="J3" s="551"/>
      <c r="K3" s="551"/>
      <c r="L3" s="552"/>
      <c r="M3" s="550"/>
      <c r="N3" s="551"/>
      <c r="O3" s="551"/>
      <c r="P3" s="551"/>
      <c r="Q3" s="552"/>
      <c r="R3" s="539"/>
      <c r="S3" s="79"/>
    </row>
    <row r="4" spans="1:20" ht="15" customHeight="1">
      <c r="A4" s="47"/>
      <c r="B4" s="43"/>
      <c r="C4" s="574">
        <f>DATOS!B29</f>
        <v>150</v>
      </c>
      <c r="D4" s="575"/>
      <c r="E4" s="576"/>
      <c r="F4" s="48"/>
      <c r="G4" s="550"/>
      <c r="H4" s="551"/>
      <c r="I4" s="551"/>
      <c r="J4" s="551"/>
      <c r="K4" s="551"/>
      <c r="L4" s="552"/>
      <c r="M4" s="550"/>
      <c r="N4" s="551"/>
      <c r="O4" s="551"/>
      <c r="P4" s="551"/>
      <c r="Q4" s="552"/>
      <c r="R4" s="539"/>
      <c r="S4" s="79"/>
    </row>
    <row r="5" spans="1:20" ht="14.5" customHeight="1" thickBot="1">
      <c r="A5" s="47"/>
      <c r="B5" s="43"/>
      <c r="C5" s="577"/>
      <c r="D5" s="578"/>
      <c r="E5" s="579"/>
      <c r="F5" s="48"/>
      <c r="G5" s="553"/>
      <c r="H5" s="554"/>
      <c r="I5" s="554"/>
      <c r="J5" s="554"/>
      <c r="K5" s="554"/>
      <c r="L5" s="555"/>
      <c r="M5" s="553"/>
      <c r="N5" s="554"/>
      <c r="O5" s="554"/>
      <c r="P5" s="554"/>
      <c r="Q5" s="555"/>
      <c r="R5" s="539"/>
      <c r="S5" s="79"/>
    </row>
    <row r="6" spans="1:20" ht="15" customHeight="1" thickBot="1">
      <c r="A6" s="47"/>
      <c r="B6" s="43"/>
      <c r="C6" s="580"/>
      <c r="D6" s="581"/>
      <c r="E6" s="582"/>
      <c r="F6" s="48"/>
      <c r="G6" s="401" t="s">
        <v>2582</v>
      </c>
      <c r="H6" s="402"/>
      <c r="I6" s="402"/>
      <c r="J6" s="402"/>
      <c r="K6" s="402"/>
      <c r="L6" s="403"/>
      <c r="M6" s="401" t="s">
        <v>2583</v>
      </c>
      <c r="N6" s="402"/>
      <c r="O6" s="402"/>
      <c r="P6" s="402"/>
      <c r="Q6" s="403"/>
      <c r="R6" s="539"/>
      <c r="S6" s="79"/>
    </row>
    <row r="7" spans="1:20" ht="15" thickBot="1">
      <c r="A7" s="49"/>
      <c r="B7" s="50"/>
      <c r="C7" s="50"/>
      <c r="D7" s="50"/>
      <c r="E7" s="50"/>
      <c r="F7" s="51"/>
      <c r="G7" s="556"/>
      <c r="H7" s="557"/>
      <c r="I7" s="557"/>
      <c r="J7" s="557"/>
      <c r="K7" s="557"/>
      <c r="L7" s="558"/>
      <c r="M7" s="556"/>
      <c r="N7" s="557"/>
      <c r="O7" s="557"/>
      <c r="P7" s="557"/>
      <c r="Q7" s="558"/>
      <c r="R7" s="539"/>
      <c r="S7" s="79"/>
    </row>
    <row r="8" spans="1:20" ht="15" thickBot="1">
      <c r="A8" s="52"/>
      <c r="B8" s="53"/>
      <c r="C8" s="53"/>
      <c r="D8" s="53"/>
      <c r="E8" s="53"/>
      <c r="F8" s="54"/>
      <c r="G8" s="404"/>
      <c r="H8" s="405"/>
      <c r="I8" s="405"/>
      <c r="J8" s="405"/>
      <c r="K8" s="405"/>
      <c r="L8" s="406"/>
      <c r="M8" s="404"/>
      <c r="N8" s="405"/>
      <c r="O8" s="405"/>
      <c r="P8" s="405"/>
      <c r="Q8" s="406"/>
      <c r="R8" s="539"/>
      <c r="S8" s="79"/>
    </row>
    <row r="9" spans="1:20" ht="15" thickBot="1">
      <c r="A9" s="55"/>
      <c r="B9" s="56"/>
      <c r="C9" s="56"/>
      <c r="D9" s="56"/>
      <c r="E9" s="56"/>
      <c r="F9" s="57"/>
      <c r="G9" s="559"/>
      <c r="H9" s="560"/>
      <c r="I9" s="560"/>
      <c r="J9" s="560"/>
      <c r="K9" s="560"/>
      <c r="L9" s="561"/>
      <c r="M9" s="559"/>
      <c r="N9" s="560"/>
      <c r="O9" s="560"/>
      <c r="P9" s="560"/>
      <c r="Q9" s="561"/>
      <c r="R9" s="539"/>
      <c r="S9" s="332">
        <f>COUNTIF(DATOS!B45:B57,"SI")</f>
        <v>3</v>
      </c>
      <c r="T9" s="397">
        <f>S9/S10</f>
        <v>0.42857142857142855</v>
      </c>
    </row>
    <row r="10" spans="1:20">
      <c r="A10" s="55"/>
      <c r="B10" s="56"/>
      <c r="C10" s="574">
        <f>DATOS!B31</f>
        <v>200</v>
      </c>
      <c r="D10" s="575"/>
      <c r="E10" s="576"/>
      <c r="F10" s="57"/>
      <c r="G10" s="562"/>
      <c r="H10" s="563"/>
      <c r="I10" s="563"/>
      <c r="J10" s="563"/>
      <c r="K10" s="563"/>
      <c r="L10" s="564"/>
      <c r="M10" s="562"/>
      <c r="N10" s="563"/>
      <c r="O10" s="563"/>
      <c r="P10" s="563"/>
      <c r="Q10" s="564"/>
      <c r="R10" s="539"/>
      <c r="S10" s="332">
        <f>COUNTA(DATOS!B45:B57)</f>
        <v>7</v>
      </c>
      <c r="T10" s="398">
        <f>1-T9</f>
        <v>0.5714285714285714</v>
      </c>
    </row>
    <row r="11" spans="1:20">
      <c r="A11" s="55"/>
      <c r="B11" s="56"/>
      <c r="C11" s="577"/>
      <c r="D11" s="578"/>
      <c r="E11" s="579"/>
      <c r="F11" s="57"/>
      <c r="G11" s="562"/>
      <c r="H11" s="563"/>
      <c r="I11" s="563"/>
      <c r="J11" s="563"/>
      <c r="K11" s="563"/>
      <c r="L11" s="564"/>
      <c r="M11" s="562"/>
      <c r="N11" s="563"/>
      <c r="O11" s="563"/>
      <c r="P11" s="563"/>
      <c r="Q11" s="564"/>
      <c r="R11" s="539"/>
      <c r="S11" s="79"/>
      <c r="T11" s="206"/>
    </row>
    <row r="12" spans="1:20" ht="15" thickBot="1">
      <c r="A12" s="55"/>
      <c r="B12" s="56"/>
      <c r="C12" s="580"/>
      <c r="D12" s="581"/>
      <c r="E12" s="582"/>
      <c r="F12" s="57"/>
      <c r="G12" s="562"/>
      <c r="H12" s="563"/>
      <c r="I12" s="563"/>
      <c r="J12" s="563"/>
      <c r="K12" s="563"/>
      <c r="L12" s="564"/>
      <c r="M12" s="562"/>
      <c r="N12" s="563"/>
      <c r="O12" s="563"/>
      <c r="P12" s="563"/>
      <c r="Q12" s="564"/>
      <c r="R12" s="539"/>
      <c r="S12" s="332">
        <f>COUNTIF(DATOS!B65:B67,"SI")</f>
        <v>0</v>
      </c>
      <c r="T12" s="397">
        <f>S12/S13</f>
        <v>0</v>
      </c>
    </row>
    <row r="13" spans="1:20" ht="15" thickBot="1">
      <c r="A13" s="58"/>
      <c r="B13" s="59"/>
      <c r="C13" s="59"/>
      <c r="D13" s="59"/>
      <c r="E13" s="59"/>
      <c r="F13" s="60"/>
      <c r="G13" s="562"/>
      <c r="H13" s="563"/>
      <c r="I13" s="563"/>
      <c r="J13" s="563"/>
      <c r="K13" s="563"/>
      <c r="L13" s="564"/>
      <c r="M13" s="562"/>
      <c r="N13" s="563"/>
      <c r="O13" s="563"/>
      <c r="P13" s="563"/>
      <c r="Q13" s="564"/>
      <c r="R13" s="540"/>
      <c r="S13" s="332">
        <f>COUNTA(DATOS!B65:B67)</f>
        <v>2</v>
      </c>
      <c r="T13" s="398">
        <f>1-T12</f>
        <v>1</v>
      </c>
    </row>
    <row r="14" spans="1:20">
      <c r="A14" s="61"/>
      <c r="B14" s="62"/>
      <c r="C14" s="62"/>
      <c r="D14" s="62"/>
      <c r="E14" s="62"/>
      <c r="F14" s="63"/>
      <c r="G14" s="562"/>
      <c r="H14" s="563"/>
      <c r="I14" s="563"/>
      <c r="J14" s="563"/>
      <c r="K14" s="563"/>
      <c r="L14" s="564"/>
      <c r="M14" s="562"/>
      <c r="N14" s="563"/>
      <c r="O14" s="563"/>
      <c r="P14" s="563"/>
      <c r="Q14" s="564"/>
      <c r="R14" s="541" t="str">
        <f>DATOS!B23</f>
        <v>ESTRATO 4</v>
      </c>
      <c r="S14" s="79"/>
      <c r="T14" s="206"/>
    </row>
    <row r="15" spans="1:20" ht="15" thickBot="1">
      <c r="A15" s="64"/>
      <c r="B15" s="65"/>
      <c r="C15" s="65"/>
      <c r="D15" s="65"/>
      <c r="E15" s="65"/>
      <c r="F15" s="66"/>
      <c r="G15" s="562"/>
      <c r="H15" s="563"/>
      <c r="I15" s="563"/>
      <c r="J15" s="563"/>
      <c r="K15" s="563"/>
      <c r="L15" s="564"/>
      <c r="M15" s="562"/>
      <c r="N15" s="563"/>
      <c r="O15" s="563"/>
      <c r="P15" s="563"/>
      <c r="Q15" s="564"/>
      <c r="R15" s="542"/>
      <c r="S15" s="79"/>
      <c r="T15" s="206"/>
    </row>
    <row r="16" spans="1:20" ht="14.5" customHeight="1" thickBot="1">
      <c r="A16" s="64"/>
      <c r="B16" s="65"/>
      <c r="C16" s="574">
        <f>DATOS!B33</f>
        <v>20</v>
      </c>
      <c r="D16" s="575"/>
      <c r="E16" s="576"/>
      <c r="F16" s="66"/>
      <c r="G16" s="565"/>
      <c r="H16" s="566"/>
      <c r="I16" s="566"/>
      <c r="J16" s="566"/>
      <c r="K16" s="566"/>
      <c r="L16" s="567"/>
      <c r="M16" s="565"/>
      <c r="N16" s="566"/>
      <c r="O16" s="566"/>
      <c r="P16" s="566"/>
      <c r="Q16" s="567"/>
      <c r="R16" s="542"/>
      <c r="S16" s="79"/>
      <c r="T16" s="206"/>
    </row>
    <row r="17" spans="1:20" ht="14.5" customHeight="1">
      <c r="A17" s="64"/>
      <c r="B17" s="65"/>
      <c r="C17" s="577"/>
      <c r="D17" s="578"/>
      <c r="E17" s="579"/>
      <c r="F17" s="66"/>
      <c r="G17" s="401" t="s">
        <v>2584</v>
      </c>
      <c r="H17" s="402"/>
      <c r="I17" s="402"/>
      <c r="J17" s="402"/>
      <c r="K17" s="402"/>
      <c r="L17" s="403"/>
      <c r="M17" s="529" t="s">
        <v>2585</v>
      </c>
      <c r="N17" s="530"/>
      <c r="O17" s="530"/>
      <c r="P17" s="530"/>
      <c r="Q17" s="531"/>
      <c r="R17" s="542"/>
      <c r="S17" s="79"/>
      <c r="T17" s="206"/>
    </row>
    <row r="18" spans="1:20" ht="15" customHeight="1" thickBot="1">
      <c r="A18" s="64"/>
      <c r="B18" s="65"/>
      <c r="C18" s="580"/>
      <c r="D18" s="581"/>
      <c r="E18" s="582"/>
      <c r="F18" s="66"/>
      <c r="G18" s="556"/>
      <c r="H18" s="557"/>
      <c r="I18" s="557"/>
      <c r="J18" s="557"/>
      <c r="K18" s="557"/>
      <c r="L18" s="558"/>
      <c r="M18" s="532"/>
      <c r="N18" s="533"/>
      <c r="O18" s="533"/>
      <c r="P18" s="533"/>
      <c r="Q18" s="534"/>
      <c r="R18" s="542"/>
      <c r="S18" s="79"/>
      <c r="T18" s="206"/>
    </row>
    <row r="19" spans="1:20" ht="15" thickBot="1">
      <c r="A19" s="67"/>
      <c r="B19" s="68"/>
      <c r="C19" s="68"/>
      <c r="D19" s="68"/>
      <c r="E19" s="68"/>
      <c r="F19" s="69"/>
      <c r="G19" s="404"/>
      <c r="H19" s="405"/>
      <c r="I19" s="405"/>
      <c r="J19" s="405"/>
      <c r="K19" s="405"/>
      <c r="L19" s="406"/>
      <c r="M19" s="532"/>
      <c r="N19" s="533"/>
      <c r="O19" s="533"/>
      <c r="P19" s="533"/>
      <c r="Q19" s="534"/>
      <c r="R19" s="542"/>
      <c r="S19" s="79"/>
      <c r="T19" s="206"/>
    </row>
    <row r="20" spans="1:20">
      <c r="A20" s="70"/>
      <c r="B20" s="71"/>
      <c r="C20" s="71"/>
      <c r="D20" s="71"/>
      <c r="E20" s="71"/>
      <c r="F20" s="72"/>
      <c r="G20" s="559"/>
      <c r="H20" s="560"/>
      <c r="I20" s="560"/>
      <c r="J20" s="560"/>
      <c r="K20" s="560"/>
      <c r="L20" s="561"/>
      <c r="M20" s="532"/>
      <c r="N20" s="533"/>
      <c r="O20" s="533"/>
      <c r="P20" s="533"/>
      <c r="Q20" s="534"/>
      <c r="R20" s="542"/>
      <c r="S20" s="332">
        <f>COUNTIF(DATOS!B59:B63,"SI")</f>
        <v>1</v>
      </c>
      <c r="T20" s="397">
        <f>S20/S21</f>
        <v>0.33333333333333331</v>
      </c>
    </row>
    <row r="21" spans="1:20" ht="15" thickBot="1">
      <c r="A21" s="73"/>
      <c r="B21" s="74"/>
      <c r="C21" s="74"/>
      <c r="D21" s="74"/>
      <c r="E21" s="74"/>
      <c r="F21" s="75"/>
      <c r="G21" s="562"/>
      <c r="H21" s="563"/>
      <c r="I21" s="563"/>
      <c r="J21" s="563"/>
      <c r="K21" s="563"/>
      <c r="L21" s="564"/>
      <c r="M21" s="532"/>
      <c r="N21" s="533"/>
      <c r="O21" s="533"/>
      <c r="P21" s="533"/>
      <c r="Q21" s="534"/>
      <c r="R21" s="542"/>
      <c r="S21" s="332">
        <f>COUNTA(DATOS!B59:B63)</f>
        <v>3</v>
      </c>
      <c r="T21" s="398">
        <f>1-T20</f>
        <v>0.66666666666666674</v>
      </c>
    </row>
    <row r="22" spans="1:20" ht="14.5" customHeight="1">
      <c r="A22" s="73"/>
      <c r="B22" s="74"/>
      <c r="C22" s="574">
        <f>DATOS!B35</f>
        <v>250</v>
      </c>
      <c r="D22" s="575"/>
      <c r="E22" s="576"/>
      <c r="F22" s="75"/>
      <c r="G22" s="562"/>
      <c r="H22" s="563"/>
      <c r="I22" s="563"/>
      <c r="J22" s="563"/>
      <c r="K22" s="563"/>
      <c r="L22" s="564"/>
      <c r="M22" s="532"/>
      <c r="N22" s="533"/>
      <c r="O22" s="533"/>
      <c r="P22" s="533"/>
      <c r="Q22" s="534"/>
      <c r="R22" s="542"/>
      <c r="S22" s="79"/>
    </row>
    <row r="23" spans="1:20" ht="14.5" customHeight="1">
      <c r="A23" s="73"/>
      <c r="B23" s="74"/>
      <c r="C23" s="577"/>
      <c r="D23" s="578"/>
      <c r="E23" s="579"/>
      <c r="F23" s="75"/>
      <c r="G23" s="562"/>
      <c r="H23" s="563"/>
      <c r="I23" s="563"/>
      <c r="J23" s="563"/>
      <c r="K23" s="563"/>
      <c r="L23" s="564"/>
      <c r="M23" s="532"/>
      <c r="N23" s="533"/>
      <c r="O23" s="533"/>
      <c r="P23" s="533"/>
      <c r="Q23" s="534"/>
      <c r="R23" s="542"/>
      <c r="S23" s="79"/>
    </row>
    <row r="24" spans="1:20" ht="15" customHeight="1" thickBot="1">
      <c r="A24" s="73"/>
      <c r="B24" s="74"/>
      <c r="C24" s="580"/>
      <c r="D24" s="581"/>
      <c r="E24" s="582"/>
      <c r="F24" s="75"/>
      <c r="G24" s="562"/>
      <c r="H24" s="563"/>
      <c r="I24" s="563"/>
      <c r="J24" s="563"/>
      <c r="K24" s="563"/>
      <c r="L24" s="564"/>
      <c r="M24" s="532"/>
      <c r="N24" s="533"/>
      <c r="O24" s="533"/>
      <c r="P24" s="533"/>
      <c r="Q24" s="534"/>
      <c r="R24" s="542"/>
      <c r="S24" s="79"/>
    </row>
    <row r="25" spans="1:20" ht="15" thickBot="1">
      <c r="A25" s="76"/>
      <c r="B25" s="77"/>
      <c r="C25" s="77"/>
      <c r="D25" s="77"/>
      <c r="E25" s="77"/>
      <c r="F25" s="78"/>
      <c r="G25" s="562"/>
      <c r="H25" s="563"/>
      <c r="I25" s="563"/>
      <c r="J25" s="563"/>
      <c r="K25" s="563"/>
      <c r="L25" s="564"/>
      <c r="M25" s="532"/>
      <c r="N25" s="533"/>
      <c r="O25" s="533"/>
      <c r="P25" s="533"/>
      <c r="Q25" s="534"/>
      <c r="R25" s="542"/>
      <c r="S25" s="79"/>
    </row>
    <row r="26" spans="1:20">
      <c r="A26" s="568">
        <f>C4+C10+C16+C22</f>
        <v>620</v>
      </c>
      <c r="B26" s="569"/>
      <c r="C26" s="569"/>
      <c r="D26" s="569"/>
      <c r="E26" s="569"/>
      <c r="F26" s="570"/>
      <c r="G26" s="562"/>
      <c r="H26" s="563"/>
      <c r="I26" s="563"/>
      <c r="J26" s="563"/>
      <c r="K26" s="563"/>
      <c r="L26" s="564"/>
      <c r="M26" s="532"/>
      <c r="N26" s="533"/>
      <c r="O26" s="533"/>
      <c r="P26" s="533"/>
      <c r="Q26" s="534"/>
      <c r="R26" s="542"/>
      <c r="S26" s="79"/>
    </row>
    <row r="27" spans="1:20" ht="15" thickBot="1">
      <c r="A27" s="571"/>
      <c r="B27" s="572"/>
      <c r="C27" s="572"/>
      <c r="D27" s="572"/>
      <c r="E27" s="572"/>
      <c r="F27" s="573"/>
      <c r="G27" s="565"/>
      <c r="H27" s="566"/>
      <c r="I27" s="566"/>
      <c r="J27" s="566"/>
      <c r="K27" s="566"/>
      <c r="L27" s="567"/>
      <c r="M27" s="535"/>
      <c r="N27" s="536"/>
      <c r="O27" s="536"/>
      <c r="P27" s="536"/>
      <c r="Q27" s="537"/>
      <c r="R27" s="543"/>
      <c r="S27" s="79"/>
    </row>
    <row r="28" spans="1:20" ht="15" thickBot="1">
      <c r="A28" s="524" t="str">
        <f>TEXT("% SERVICIOS PÚBLICOS",1)&amp;" "&amp;DATOS!B12&amp;" "&amp;DATOS!B10</f>
        <v>% SERVICIOS PÚBLICOS BELLO ANTIOQUIA</v>
      </c>
      <c r="B28" s="525"/>
      <c r="C28" s="525"/>
      <c r="D28" s="526"/>
      <c r="E28" s="527">
        <f>IF(DATOS!B10=0,0,VLOOKUP(DATOS!B13,MUNICIPIOS!$AN$4:$AT$1124,5,0))</f>
        <v>99.15</v>
      </c>
      <c r="F28" s="528"/>
      <c r="G28" s="524" t="s">
        <v>2586</v>
      </c>
      <c r="H28" s="525"/>
      <c r="I28" s="525"/>
      <c r="J28" s="526"/>
      <c r="K28" s="527">
        <f>IF(DATOS!B10=0,0,VLOOKUP(DATOS!B13,MUNICIPIOS!$AN$4:$AT$1124,6,0))</f>
        <v>99.17</v>
      </c>
      <c r="L28" s="528"/>
      <c r="M28" s="524" t="s">
        <v>2587</v>
      </c>
      <c r="N28" s="525"/>
      <c r="O28" s="525"/>
      <c r="P28" s="525"/>
      <c r="Q28" s="526"/>
      <c r="R28" s="351">
        <f>IF(DATOS!B10=0,0,VLOOKUP(DATOS!B13,MUNICIPIOS!$AN$4:$AT$1124,7,0))</f>
        <v>98.74</v>
      </c>
      <c r="S28" s="79"/>
    </row>
    <row r="29" spans="1:20">
      <c r="A29" s="79"/>
      <c r="B29" s="79"/>
      <c r="C29" s="79"/>
      <c r="D29" s="79"/>
      <c r="E29" s="79"/>
      <c r="F29" s="79"/>
      <c r="G29" s="79"/>
      <c r="H29" s="79"/>
      <c r="I29" s="79"/>
      <c r="J29" s="79"/>
      <c r="K29" s="79"/>
      <c r="L29" s="79"/>
      <c r="M29" s="79"/>
      <c r="N29" s="79"/>
      <c r="O29" s="79"/>
      <c r="P29" s="79"/>
      <c r="Q29" s="79"/>
      <c r="R29" s="79"/>
      <c r="S29" s="79"/>
    </row>
    <row r="30" spans="1:20">
      <c r="A30" s="79"/>
      <c r="B30" s="79"/>
      <c r="C30" s="79"/>
      <c r="D30" s="79"/>
      <c r="E30" s="79"/>
      <c r="F30" s="79"/>
      <c r="G30" s="79"/>
      <c r="H30" s="79"/>
      <c r="I30" s="79"/>
      <c r="J30" s="79"/>
      <c r="K30" s="79"/>
      <c r="L30" s="79"/>
      <c r="M30" s="79"/>
      <c r="N30" s="79"/>
      <c r="O30" s="79"/>
      <c r="P30" s="79"/>
      <c r="Q30" s="79"/>
      <c r="R30" s="79"/>
      <c r="S30" s="79"/>
    </row>
    <row r="31" spans="1:20">
      <c r="A31" s="79"/>
      <c r="B31" s="79"/>
      <c r="C31" s="79"/>
      <c r="D31" s="79"/>
      <c r="E31" s="79"/>
      <c r="F31" s="79"/>
      <c r="G31" s="79"/>
      <c r="H31" s="79"/>
      <c r="I31" s="79"/>
      <c r="J31" s="79"/>
      <c r="K31" s="79"/>
      <c r="L31" s="79"/>
      <c r="M31" s="79"/>
      <c r="N31" s="79"/>
      <c r="O31" s="79"/>
      <c r="P31" s="79"/>
      <c r="Q31" s="79"/>
      <c r="R31" s="79"/>
      <c r="S31" s="79"/>
    </row>
    <row r="32" spans="1:20">
      <c r="A32" s="79"/>
      <c r="B32" s="79"/>
      <c r="C32" s="79"/>
      <c r="D32" s="79"/>
      <c r="E32" s="79"/>
      <c r="F32" s="79"/>
      <c r="G32" s="79"/>
      <c r="H32" s="79"/>
      <c r="I32" s="79"/>
      <c r="J32" s="79"/>
      <c r="K32" s="79"/>
      <c r="L32" s="79"/>
      <c r="M32" s="79"/>
      <c r="N32" s="79"/>
      <c r="O32" s="79"/>
      <c r="P32" s="79"/>
      <c r="Q32" s="79"/>
      <c r="R32" s="79"/>
      <c r="S32" s="79"/>
    </row>
  </sheetData>
  <mergeCells count="24">
    <mergeCell ref="A26:F27"/>
    <mergeCell ref="G1:L1"/>
    <mergeCell ref="G6:L8"/>
    <mergeCell ref="G9:L16"/>
    <mergeCell ref="G17:L19"/>
    <mergeCell ref="G20:L27"/>
    <mergeCell ref="G2:L5"/>
    <mergeCell ref="C4:E6"/>
    <mergeCell ref="A1:F1"/>
    <mergeCell ref="C10:E12"/>
    <mergeCell ref="C16:E18"/>
    <mergeCell ref="C22:E24"/>
    <mergeCell ref="M17:Q27"/>
    <mergeCell ref="R1:R13"/>
    <mergeCell ref="R14:R27"/>
    <mergeCell ref="M1:Q1"/>
    <mergeCell ref="M2:Q5"/>
    <mergeCell ref="M6:Q8"/>
    <mergeCell ref="M9:Q16"/>
    <mergeCell ref="A28:D28"/>
    <mergeCell ref="E28:F28"/>
    <mergeCell ref="G28:J28"/>
    <mergeCell ref="K28:L28"/>
    <mergeCell ref="M28:Q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9DB5-D305-4F25-A3F7-9385D5795524}">
  <dimension ref="A1:N185"/>
  <sheetViews>
    <sheetView showGridLines="0" showRowColHeaders="0" topLeftCell="A154" workbookViewId="0">
      <selection sqref="A1:B1"/>
    </sheetView>
  </sheetViews>
  <sheetFormatPr baseColWidth="10" defaultColWidth="11.54296875" defaultRowHeight="14.5" outlineLevelRow="1"/>
  <cols>
    <col min="1" max="1" width="35.453125" style="3" customWidth="1"/>
    <col min="2" max="12" width="14" style="3" customWidth="1"/>
    <col min="13" max="16384" width="11.54296875" style="3"/>
  </cols>
  <sheetData>
    <row r="1" spans="1:3" hidden="1">
      <c r="A1" s="608" t="str">
        <f>DATOS!A214</f>
        <v>PREOPERATIVOS GENERALES</v>
      </c>
      <c r="B1" s="608"/>
      <c r="C1" s="35"/>
    </row>
    <row r="2" spans="1:3" hidden="1" outlineLevel="1">
      <c r="A2" s="3" t="str">
        <f>DATOS!A215</f>
        <v>EQUIPO</v>
      </c>
      <c r="B2" s="3" t="str">
        <f>DATOS!B215</f>
        <v>VALOR</v>
      </c>
    </row>
    <row r="3" spans="1:3" hidden="1" outlineLevel="1">
      <c r="A3" s="3" t="str">
        <f>DATOS!A216</f>
        <v>Comunicación y divulgación</v>
      </c>
      <c r="B3" s="3">
        <f>DATOS!B216</f>
        <v>0</v>
      </c>
    </row>
    <row r="4" spans="1:3" hidden="1" outlineLevel="1">
      <c r="A4" s="3" t="str">
        <f>DATOS!A217</f>
        <v>Gastos de constitución sociedad</v>
      </c>
      <c r="B4" s="3">
        <f>DATOS!B217</f>
        <v>0</v>
      </c>
    </row>
    <row r="5" spans="1:3" hidden="1" outlineLevel="1">
      <c r="A5" s="3" t="str">
        <f>DATOS!A218</f>
        <v>Póliza de energía solar</v>
      </c>
      <c r="B5" s="3">
        <f>DATOS!B218</f>
        <v>0</v>
      </c>
    </row>
    <row r="6" spans="1:3" hidden="1" outlineLevel="1">
      <c r="A6" s="3" t="str">
        <f>DATOS!A220</f>
        <v>Otras pólizas</v>
      </c>
      <c r="B6" s="3">
        <f>DATOS!B220</f>
        <v>0</v>
      </c>
    </row>
    <row r="7" spans="1:3" hidden="1" outlineLevel="1">
      <c r="A7" s="3" t="str">
        <f>DATOS!A222</f>
        <v>TOTAL PREOPERATIVOS GENERALES</v>
      </c>
      <c r="B7" s="3">
        <f>DATOS!B222</f>
        <v>0</v>
      </c>
    </row>
    <row r="8" spans="1:3" hidden="1" collapsed="1">
      <c r="A8" s="584" t="str">
        <f>DATOS!A223</f>
        <v>PREOPERATIVOS ESPECÍFICOS SISTEMA SOLAR FOTOVOLTAICO</v>
      </c>
      <c r="B8" s="584"/>
      <c r="C8" s="35"/>
    </row>
    <row r="9" spans="1:3" hidden="1" outlineLevel="1">
      <c r="A9" s="3" t="str">
        <f>DATOS!A224</f>
        <v>EQUIPO</v>
      </c>
      <c r="B9" s="3" t="str">
        <f>DATOS!B224</f>
        <v>VALOR</v>
      </c>
    </row>
    <row r="10" spans="1:3" hidden="1" outlineLevel="1">
      <c r="A10" s="3" t="str">
        <f>DATOS!A225</f>
        <v>Equipos de medición del recurso solar</v>
      </c>
      <c r="B10" s="3">
        <f>DATOS!B225</f>
        <v>0</v>
      </c>
    </row>
    <row r="11" spans="1:3" hidden="1" outlineLevel="1">
      <c r="A11" s="3" t="str">
        <f>DATOS!A226</f>
        <v>Seguidores solares</v>
      </c>
      <c r="B11" s="3">
        <f>DATOS!B226</f>
        <v>0</v>
      </c>
    </row>
    <row r="12" spans="1:3" hidden="1" outlineLevel="1">
      <c r="A12" s="3" t="str">
        <f>DATOS!A227</f>
        <v>Datalogger</v>
      </c>
      <c r="B12" s="3">
        <f>DATOS!B227</f>
        <v>0</v>
      </c>
    </row>
    <row r="13" spans="1:3" hidden="1" outlineLevel="1">
      <c r="A13" s="3" t="str">
        <f>DATOS!A228</f>
        <v>Estaciones meteorológicas</v>
      </c>
      <c r="B13" s="3">
        <f>DATOS!B228</f>
        <v>0</v>
      </c>
    </row>
    <row r="14" spans="1:3" hidden="1" outlineLevel="1">
      <c r="A14" s="3" t="str">
        <f>DATOS!A229</f>
        <v>Estudios de valoración de potencial del
recurso solar</v>
      </c>
      <c r="B14" s="3">
        <f>DATOS!B229</f>
        <v>0</v>
      </c>
    </row>
    <row r="15" spans="1:3" hidden="1" outlineLevel="1">
      <c r="A15" s="3" t="str">
        <f>DATOS!A230</f>
        <v>Estudios ambientales</v>
      </c>
      <c r="B15" s="3">
        <f>DATOS!B230</f>
        <v>0</v>
      </c>
    </row>
    <row r="16" spans="1:3" hidden="1" outlineLevel="1">
      <c r="A16" s="3" t="str">
        <f>DATOS!A231</f>
        <v>Estudios de conexión</v>
      </c>
      <c r="B16" s="3">
        <f>DATOS!B231</f>
        <v>0</v>
      </c>
    </row>
    <row r="17" spans="1:3" hidden="1" outlineLevel="1">
      <c r="A17" s="3" t="str">
        <f>DATOS!A232</f>
        <v>Estudios estructurales</v>
      </c>
      <c r="B17" s="3">
        <f>DATOS!B232</f>
        <v>0</v>
      </c>
    </row>
    <row r="18" spans="1:3" hidden="1" outlineLevel="1">
      <c r="A18" s="3" t="str">
        <f>DATOS!A233</f>
        <v>Asesoría y consultoría técnica</v>
      </c>
      <c r="B18" s="3">
        <f>DATOS!B233</f>
        <v>0</v>
      </c>
    </row>
    <row r="19" spans="1:3" hidden="1" outlineLevel="1">
      <c r="A19" s="3" t="str">
        <f>DATOS!A234</f>
        <v>Diseño e ingeniería del sistema</v>
      </c>
      <c r="B19" s="3">
        <f>DATOS!B234</f>
        <v>0</v>
      </c>
    </row>
    <row r="20" spans="1:3" hidden="1" outlineLevel="1">
      <c r="A20" s="3" t="str">
        <f>DATOS!A235</f>
        <v>Transporte asociado al traslado de componentes al sitio de instalación</v>
      </c>
      <c r="B20" s="3">
        <f>DATOS!B235</f>
        <v>0</v>
      </c>
    </row>
    <row r="21" spans="1:3" hidden="1" outlineLevel="1">
      <c r="A21" s="3" t="str">
        <f>DATOS!A236</f>
        <v>TOTAL PREOPERATIVOS SOLAR FOTOVOLTAICO</v>
      </c>
      <c r="B21" s="3">
        <f>DATOS!B236</f>
        <v>0</v>
      </c>
    </row>
    <row r="22" spans="1:3" hidden="1" collapsed="1">
      <c r="A22" s="584" t="str">
        <f>DATOS!A237</f>
        <v>PREOPERATIVOS ESPECÍFICOS SISTEMA EÓLICO</v>
      </c>
      <c r="B22" s="584"/>
      <c r="C22" s="35"/>
    </row>
    <row r="23" spans="1:3" hidden="1" outlineLevel="1">
      <c r="A23" s="3" t="str">
        <f>DATOS!A238</f>
        <v>EQUIPO</v>
      </c>
      <c r="B23" s="3" t="str">
        <f>DATOS!B238</f>
        <v>VALOR</v>
      </c>
    </row>
    <row r="24" spans="1:3" hidden="1" outlineLevel="1">
      <c r="A24" s="3" t="str">
        <f>DATOS!A239</f>
        <v>Equipos LIDAR</v>
      </c>
      <c r="B24" s="3">
        <f>DATOS!B239</f>
        <v>0</v>
      </c>
    </row>
    <row r="25" spans="1:3" hidden="1" outlineLevel="1">
      <c r="A25" s="3" t="str">
        <f>DATOS!A240</f>
        <v>Equipos SODAR</v>
      </c>
      <c r="B25" s="3">
        <f>DATOS!B240</f>
        <v>0</v>
      </c>
    </row>
    <row r="26" spans="1:3" hidden="1" outlineLevel="1">
      <c r="A26" s="3" t="str">
        <f>DATOS!A241</f>
        <v>Torres de medición</v>
      </c>
      <c r="B26" s="3">
        <f>DATOS!B241</f>
        <v>0</v>
      </c>
    </row>
    <row r="27" spans="1:3" hidden="1" outlineLevel="1">
      <c r="A27" s="3" t="str">
        <f>DATOS!A242</f>
        <v>Anemómetros</v>
      </c>
      <c r="B27" s="3">
        <f>DATOS!B242</f>
        <v>0</v>
      </c>
    </row>
    <row r="28" spans="1:3" hidden="1" outlineLevel="1">
      <c r="A28" s="3" t="str">
        <f>DATOS!A243</f>
        <v>Veletas</v>
      </c>
      <c r="B28" s="3">
        <f>DATOS!B243</f>
        <v>0</v>
      </c>
    </row>
    <row r="29" spans="1:3" hidden="1" outlineLevel="1">
      <c r="A29" s="3" t="str">
        <f>DATOS!A244</f>
        <v>Datalogger</v>
      </c>
      <c r="B29" s="3">
        <f>DATOS!B244</f>
        <v>0</v>
      </c>
    </row>
    <row r="30" spans="1:3" hidden="1" outlineLevel="1">
      <c r="A30" s="3" t="str">
        <f>DATOS!A245</f>
        <v>Estaciones meteorológicas</v>
      </c>
      <c r="B30" s="3">
        <f>DATOS!B245</f>
        <v>0</v>
      </c>
    </row>
    <row r="31" spans="1:3" hidden="1" outlineLevel="1">
      <c r="A31" s="3" t="str">
        <f>DATOS!A246</f>
        <v>Equpos de alimentación DC/AC</v>
      </c>
      <c r="B31" s="3">
        <f>DATOS!B246</f>
        <v>0</v>
      </c>
    </row>
    <row r="32" spans="1:3" hidden="1" outlineLevel="1">
      <c r="A32" s="3" t="str">
        <f>DATOS!A247</f>
        <v>Estudios de valoración de potencial del recurso eólico</v>
      </c>
      <c r="B32" s="3">
        <f>DATOS!B247</f>
        <v>0</v>
      </c>
    </row>
    <row r="33" spans="1:2" hidden="1" outlineLevel="1">
      <c r="A33" s="3" t="str">
        <f>DATOS!A248</f>
        <v>Estudios ambientales</v>
      </c>
      <c r="B33" s="3">
        <f>DATOS!B248</f>
        <v>0</v>
      </c>
    </row>
    <row r="34" spans="1:2" hidden="1" outlineLevel="1">
      <c r="A34" s="3" t="str">
        <f>DATOS!A249</f>
        <v>Estudios de conexión</v>
      </c>
      <c r="B34" s="3">
        <f>DATOS!B249</f>
        <v>0</v>
      </c>
    </row>
    <row r="35" spans="1:2" hidden="1" outlineLevel="1">
      <c r="A35" s="3" t="str">
        <f>DATOS!A250</f>
        <v>Asesoría y consultoría técnica</v>
      </c>
      <c r="B35" s="3">
        <f>DATOS!B250</f>
        <v>0</v>
      </c>
    </row>
    <row r="36" spans="1:2" hidden="1" outlineLevel="1">
      <c r="A36" s="3" t="str">
        <f>DATOS!A251</f>
        <v>Diseño e Ingeniería del sistema</v>
      </c>
      <c r="B36" s="3">
        <f>DATOS!B251</f>
        <v>0</v>
      </c>
    </row>
    <row r="37" spans="1:2" hidden="1" outlineLevel="1">
      <c r="A37" s="3" t="str">
        <f>DATOS!A252</f>
        <v>Transporte asociado al traslado de
componentes al sitio de instalación</v>
      </c>
      <c r="B37" s="3">
        <f>DATOS!B252</f>
        <v>0</v>
      </c>
    </row>
    <row r="38" spans="1:2" hidden="1" outlineLevel="1">
      <c r="A38" s="3" t="str">
        <f>DATOS!A253</f>
        <v>TOTAL PREOPERATIVOS EÓLICO</v>
      </c>
      <c r="B38" s="3">
        <f>DATOS!B253</f>
        <v>0</v>
      </c>
    </row>
    <row r="39" spans="1:2" hidden="1" collapsed="1">
      <c r="A39" s="584" t="str">
        <f>DATOS!A254</f>
        <v>PREOPERATIVOS ESPECÍFICOS SISTEMA BIOMASA</v>
      </c>
      <c r="B39" s="584"/>
    </row>
    <row r="40" spans="1:2" hidden="1" outlineLevel="1">
      <c r="A40" s="3" t="str">
        <f>DATOS!A255</f>
        <v>EQUIPO</v>
      </c>
      <c r="B40" s="3" t="str">
        <f>DATOS!B255</f>
        <v>VALOR</v>
      </c>
    </row>
    <row r="41" spans="1:2" hidden="1" outlineLevel="1">
      <c r="A41" s="3" t="str">
        <f>DATOS!A256</f>
        <v>Estudios de valoración de potencial para uso energético de la biomasa</v>
      </c>
      <c r="B41" s="3">
        <f>DATOS!B256</f>
        <v>0</v>
      </c>
    </row>
    <row r="42" spans="1:2" hidden="1" outlineLevel="1">
      <c r="A42" s="3" t="str">
        <f>DATOS!A257</f>
        <v>Estudios ambientales</v>
      </c>
      <c r="B42" s="3">
        <f>DATOS!B257</f>
        <v>0</v>
      </c>
    </row>
    <row r="43" spans="1:2" hidden="1" outlineLevel="1">
      <c r="A43" s="3" t="str">
        <f>DATOS!A258</f>
        <v>Estudios de conexión.</v>
      </c>
      <c r="B43" s="3">
        <f>DATOS!B258</f>
        <v>0</v>
      </c>
    </row>
    <row r="44" spans="1:2" hidden="1" outlineLevel="1">
      <c r="A44" s="3" t="str">
        <f>DATOS!A259</f>
        <v>Asesoría y consultoría técnica</v>
      </c>
      <c r="B44" s="3">
        <f>DATOS!B259</f>
        <v>0</v>
      </c>
    </row>
    <row r="45" spans="1:2" hidden="1" outlineLevel="1">
      <c r="A45" s="3" t="str">
        <f>DATOS!A260</f>
        <v>Diseño e Ingeniería del sistema</v>
      </c>
      <c r="B45" s="3">
        <f>DATOS!B260</f>
        <v>0</v>
      </c>
    </row>
    <row r="46" spans="1:2" hidden="1" outlineLevel="1">
      <c r="A46" s="3" t="str">
        <f>DATOS!A261</f>
        <v>Transporte asociado al traslado de componentes al sitio de instalación</v>
      </c>
      <c r="B46" s="3">
        <f>DATOS!B261</f>
        <v>0</v>
      </c>
    </row>
    <row r="47" spans="1:2" hidden="1" outlineLevel="1">
      <c r="A47" s="3" t="str">
        <f>DATOS!A262</f>
        <v>TOTAL PREOPERATIVOS BIOMASA</v>
      </c>
      <c r="B47" s="3">
        <f>DATOS!B262</f>
        <v>0</v>
      </c>
    </row>
    <row r="48" spans="1:2" hidden="1" collapsed="1">
      <c r="A48" s="584" t="str">
        <f>DATOS!A263</f>
        <v>PREOPERATIVOS ESPECÍFICOS APROVECHAMIENTOS HIDROELÉCTRICOS</v>
      </c>
      <c r="B48" s="584"/>
    </row>
    <row r="49" spans="1:2" hidden="1" outlineLevel="1">
      <c r="A49" s="3" t="str">
        <f>DATOS!A264</f>
        <v>EQUIPO</v>
      </c>
      <c r="B49" s="3" t="str">
        <f>DATOS!B264</f>
        <v>VALOR</v>
      </c>
    </row>
    <row r="50" spans="1:2" hidden="1" outlineLevel="1">
      <c r="A50" s="3" t="str">
        <f>DATOS!A265</f>
        <v>Estudios de valoración de potencial hidráulico</v>
      </c>
      <c r="B50" s="3">
        <f>DATOS!B265</f>
        <v>0</v>
      </c>
    </row>
    <row r="51" spans="1:2" hidden="1" outlineLevel="1">
      <c r="A51" s="3" t="str">
        <f>DATOS!A266</f>
        <v>Estudios ambientales</v>
      </c>
      <c r="B51" s="3">
        <f>DATOS!B266</f>
        <v>0</v>
      </c>
    </row>
    <row r="52" spans="1:2" hidden="1" outlineLevel="1">
      <c r="A52" s="3" t="str">
        <f>DATOS!A267</f>
        <v>Estudios de conexión</v>
      </c>
      <c r="B52" s="3">
        <f>DATOS!B267</f>
        <v>0</v>
      </c>
    </row>
    <row r="53" spans="1:2" hidden="1" outlineLevel="1">
      <c r="A53" s="3" t="str">
        <f>DATOS!A268</f>
        <v>Asesoría y consultoría técnica</v>
      </c>
      <c r="B53" s="3">
        <f>DATOS!B268</f>
        <v>0</v>
      </c>
    </row>
    <row r="54" spans="1:2" hidden="1" outlineLevel="1">
      <c r="A54" s="3" t="str">
        <f>DATOS!A269</f>
        <v>Diseño e Ingeniería del sistema</v>
      </c>
      <c r="B54" s="3">
        <f>DATOS!B269</f>
        <v>0</v>
      </c>
    </row>
    <row r="55" spans="1:2" hidden="1" outlineLevel="1">
      <c r="A55" s="3" t="str">
        <f>DATOS!A270</f>
        <v>Transporte asociado al traslado de componentes al sitio de instalación</v>
      </c>
      <c r="B55" s="3">
        <f>DATOS!B270</f>
        <v>0</v>
      </c>
    </row>
    <row r="56" spans="1:2" hidden="1" outlineLevel="1">
      <c r="A56" s="3" t="str">
        <f>DATOS!A271</f>
        <v>Equipos de medición</v>
      </c>
      <c r="B56" s="3">
        <f>DATOS!B271</f>
        <v>0</v>
      </c>
    </row>
    <row r="57" spans="1:2" hidden="1" outlineLevel="1">
      <c r="A57" s="3" t="str">
        <f>DATOS!A272</f>
        <v>TOTAL PREOPERATIVOS PEQUEÑAS HIDORELÉCTRICAS</v>
      </c>
      <c r="B57" s="3">
        <f>DATOS!B272</f>
        <v>0</v>
      </c>
    </row>
    <row r="58" spans="1:2" hidden="1" collapsed="1">
      <c r="A58" s="584" t="str">
        <f>DATOS!A273</f>
        <v>PREOPERATIVOS ESPECÍFICOS SISTEMA GEOTÉRMICO</v>
      </c>
      <c r="B58" s="584"/>
    </row>
    <row r="59" spans="1:2" hidden="1" outlineLevel="1">
      <c r="A59" s="3" t="str">
        <f>DATOS!A274</f>
        <v>EQUIPO</v>
      </c>
      <c r="B59" s="3" t="str">
        <f>DATOS!B274</f>
        <v>VALOR</v>
      </c>
    </row>
    <row r="60" spans="1:2" hidden="1" outlineLevel="1">
      <c r="A60" s="3" t="str">
        <f>DATOS!A275</f>
        <v>Alquiler equipos y plataformas de perforación geotérmicos</v>
      </c>
      <c r="B60" s="3">
        <f>DATOS!B275</f>
        <v>0</v>
      </c>
    </row>
    <row r="61" spans="1:2" hidden="1" outlineLevel="1">
      <c r="A61" s="3" t="str">
        <f>DATOS!A276</f>
        <v>Toma de fotografías aéreas; imágenes de satélite; etc</v>
      </c>
      <c r="B61" s="3">
        <f>DATOS!B276</f>
        <v>0</v>
      </c>
    </row>
    <row r="62" spans="1:2" hidden="1" outlineLevel="1">
      <c r="A62" s="3" t="str">
        <f>DATOS!A277</f>
        <v>Estudios de valoración de potencial del
recurso geotérmico</v>
      </c>
      <c r="B62" s="3">
        <f>DATOS!B277</f>
        <v>0</v>
      </c>
    </row>
    <row r="63" spans="1:2" hidden="1" outlineLevel="1">
      <c r="A63" s="3" t="str">
        <f>DATOS!A278</f>
        <v>Estudios ambientales</v>
      </c>
      <c r="B63" s="3">
        <f>DATOS!B278</f>
        <v>0</v>
      </c>
    </row>
    <row r="64" spans="1:2" hidden="1" outlineLevel="1">
      <c r="A64" s="3" t="str">
        <f>DATOS!A279</f>
        <v>Estudios de gradiente térmico</v>
      </c>
      <c r="B64" s="3">
        <f>DATOS!B279</f>
        <v>0</v>
      </c>
    </row>
    <row r="65" spans="1:3" hidden="1" outlineLevel="1">
      <c r="A65" s="3" t="str">
        <f>DATOS!A280</f>
        <v>Estudios de conexión.</v>
      </c>
      <c r="B65" s="3">
        <f>DATOS!B280</f>
        <v>0</v>
      </c>
    </row>
    <row r="66" spans="1:3" hidden="1" outlineLevel="1">
      <c r="A66" s="3" t="str">
        <f>DATOS!A281</f>
        <v>Geología / exploración.</v>
      </c>
      <c r="B66" s="3">
        <f>DATOS!B281</f>
        <v>0</v>
      </c>
    </row>
    <row r="67" spans="1:3" hidden="1" outlineLevel="1">
      <c r="A67" s="3" t="str">
        <f>DATOS!A282</f>
        <v>Geoquímica / exploración.</v>
      </c>
      <c r="B67" s="3">
        <f>DATOS!B282</f>
        <v>0</v>
      </c>
    </row>
    <row r="68" spans="1:3" hidden="1" outlineLevel="1">
      <c r="A68" s="3" t="str">
        <f>DATOS!A283</f>
        <v>Geofísica / exploración.</v>
      </c>
      <c r="B68" s="3">
        <f>DATOS!B283</f>
        <v>0</v>
      </c>
    </row>
    <row r="69" spans="1:3" hidden="1" outlineLevel="1">
      <c r="A69" s="3" t="str">
        <f>DATOS!A284</f>
        <v>Asesoría y consultoría técnica</v>
      </c>
      <c r="B69" s="3">
        <f>DATOS!B284</f>
        <v>0</v>
      </c>
    </row>
    <row r="70" spans="1:3" hidden="1" outlineLevel="1">
      <c r="A70" s="3" t="str">
        <f>DATOS!A285</f>
        <v>Diseño e Ingeniería del sistema
(Incluyendo software especializado)</v>
      </c>
      <c r="B70" s="3">
        <f>DATOS!B285</f>
        <v>0</v>
      </c>
    </row>
    <row r="71" spans="1:3" hidden="1" outlineLevel="1">
      <c r="A71" s="3" t="str">
        <f>DATOS!A291</f>
        <v>TOTAL PREOPERATIVOS GEOTÉRMICOS</v>
      </c>
      <c r="B71" s="3">
        <f>DATOS!B291</f>
        <v>0</v>
      </c>
    </row>
    <row r="72" spans="1:3" hidden="1" collapsed="1">
      <c r="A72" s="584" t="str">
        <f>DATOS!A293</f>
        <v>INVERSIÓN SISTEMA FOTOVOLTAICO</v>
      </c>
      <c r="B72" s="584"/>
      <c r="C72" s="584"/>
    </row>
    <row r="73" spans="1:3" hidden="1" outlineLevel="1">
      <c r="A73" s="3" t="str">
        <f>DATOS!A294</f>
        <v>EQUIPO</v>
      </c>
      <c r="B73" s="3" t="str">
        <f>DATOS!B294</f>
        <v>VALOR</v>
      </c>
      <c r="C73" s="3">
        <f>DATOS!C294</f>
        <v>0</v>
      </c>
    </row>
    <row r="74" spans="1:3" hidden="1" outlineLevel="1">
      <c r="A74" s="3" t="str">
        <f>DATOS!A295</f>
        <v>Paneles/módulos o celdas fotovoltaicas</v>
      </c>
      <c r="B74" s="3">
        <f>DATOS!B295</f>
        <v>355481762.57404</v>
      </c>
      <c r="C74" s="3">
        <f>DATOS!C295</f>
        <v>0</v>
      </c>
    </row>
    <row r="75" spans="1:3" hidden="1" outlineLevel="1">
      <c r="A75" s="3" t="str">
        <f>DATOS!A296</f>
        <v>Inversores o microinversores</v>
      </c>
      <c r="B75" s="3">
        <f>DATOS!B296</f>
        <v>0</v>
      </c>
      <c r="C75" s="3">
        <f>DATOS!C296</f>
        <v>0</v>
      </c>
    </row>
    <row r="76" spans="1:3" hidden="1" outlineLevel="1">
      <c r="A76" s="3" t="str">
        <f>DATOS!A297</f>
        <v>Reguladores o controladores de carga</v>
      </c>
      <c r="B76" s="3">
        <f>DATOS!B297</f>
        <v>0</v>
      </c>
      <c r="C76" s="3">
        <f>DATOS!C297</f>
        <v>0</v>
      </c>
    </row>
    <row r="77" spans="1:3" hidden="1" outlineLevel="1">
      <c r="A77" s="3" t="str">
        <f>DATOS!A298</f>
        <v>Baterías solares (de ciclo de descarga profunda)</v>
      </c>
      <c r="B77" s="3">
        <f>DATOS!B298</f>
        <v>0</v>
      </c>
      <c r="C77" s="3">
        <f>DATOS!C298</f>
        <v>0</v>
      </c>
    </row>
    <row r="78" spans="1:3" hidden="1" outlineLevel="1">
      <c r="A78" s="3" t="str">
        <f>DATOS!A299</f>
        <v>Optimizadores</v>
      </c>
      <c r="B78" s="3">
        <f>DATOS!B299</f>
        <v>0</v>
      </c>
      <c r="C78" s="3">
        <f>DATOS!C299</f>
        <v>0</v>
      </c>
    </row>
    <row r="79" spans="1:3" hidden="1" outlineLevel="1">
      <c r="A79" s="3" t="str">
        <f>DATOS!A300</f>
        <v>Bases / marcos</v>
      </c>
      <c r="B79" s="3">
        <f>DATOS!B300</f>
        <v>0</v>
      </c>
      <c r="C79" s="3">
        <f>DATOS!C300</f>
        <v>0</v>
      </c>
    </row>
    <row r="80" spans="1:3" hidden="1" outlineLevel="1">
      <c r="A80" s="3" t="str">
        <f>DATOS!A301</f>
        <v>Sistemas de tracking</v>
      </c>
      <c r="B80" s="3">
        <f>DATOS!B301</f>
        <v>0</v>
      </c>
      <c r="C80" s="3">
        <f>DATOS!C301</f>
        <v>0</v>
      </c>
    </row>
    <row r="81" spans="1:3" hidden="1" outlineLevel="1">
      <c r="A81" s="3" t="str">
        <f>DATOS!A302</f>
        <v>Cajas combinadoras</v>
      </c>
      <c r="B81" s="3">
        <f>DATOS!B302</f>
        <v>0</v>
      </c>
      <c r="C81" s="3">
        <f>DATOS!C302</f>
        <v>0</v>
      </c>
    </row>
    <row r="82" spans="1:3" hidden="1" outlineLevel="1">
      <c r="A82" s="3" t="str">
        <f>DATOS!A303</f>
        <v>Conectores MC4</v>
      </c>
      <c r="B82" s="3">
        <f>DATOS!B303</f>
        <v>0</v>
      </c>
      <c r="C82" s="3">
        <f>DATOS!C303</f>
        <v>0</v>
      </c>
    </row>
    <row r="83" spans="1:3" hidden="1" outlineLevel="1">
      <c r="A83" s="3" t="str">
        <f>DATOS!A304</f>
        <v>Cables solares DC</v>
      </c>
      <c r="B83" s="3">
        <f>DATOS!B304</f>
        <v>0</v>
      </c>
      <c r="C83" s="3">
        <f>DATOS!C304</f>
        <v>0</v>
      </c>
    </row>
    <row r="84" spans="1:3" hidden="1" outlineLevel="1">
      <c r="A84" s="3" t="str">
        <f>DATOS!A305</f>
        <v>Equipos de compensación de potencia reactiva</v>
      </c>
      <c r="B84" s="3">
        <f>DATOS!B305</f>
        <v>0</v>
      </c>
      <c r="C84" s="3">
        <f>DATOS!C305</f>
        <v>0</v>
      </c>
    </row>
    <row r="85" spans="1:3" hidden="1" outlineLevel="1">
      <c r="A85" s="3" t="str">
        <f>DATOS!A306</f>
        <v>Equipos para la reducción de armónicos</v>
      </c>
      <c r="B85" s="3">
        <f>DATOS!B306</f>
        <v>0</v>
      </c>
      <c r="C85" s="3">
        <f>DATOS!C306</f>
        <v>0</v>
      </c>
    </row>
    <row r="86" spans="1:3" hidden="1" outlineLevel="1">
      <c r="A86" s="3" t="str">
        <f>DATOS!A307</f>
        <v>Certificación de la unidad funcional UPME</v>
      </c>
      <c r="B86" s="3">
        <f>DATOS!B307</f>
        <v>0</v>
      </c>
      <c r="C86" s="3">
        <f>DATOS!C307</f>
        <v>0</v>
      </c>
    </row>
    <row r="87" spans="1:3" hidden="1" outlineLevel="1">
      <c r="A87" s="3" t="str">
        <f>DATOS!A308</f>
        <v>TOTAL INVERSIÓN FOTOVOLTAICOS</v>
      </c>
      <c r="B87" s="3">
        <f>DATOS!B308</f>
        <v>355481762.57404</v>
      </c>
      <c r="C87" s="3">
        <f>DATOS!C308</f>
        <v>0</v>
      </c>
    </row>
    <row r="88" spans="1:3" hidden="1" collapsed="1">
      <c r="A88" s="584" t="str">
        <f>DATOS!A309</f>
        <v>INVERSIÓN SISTEMA EÓLICO</v>
      </c>
      <c r="B88" s="584"/>
      <c r="C88" s="584"/>
    </row>
    <row r="89" spans="1:3" hidden="1" outlineLevel="1">
      <c r="A89" s="3" t="str">
        <f>DATOS!A310</f>
        <v>EQUIPO</v>
      </c>
      <c r="B89" s="3" t="str">
        <f>DATOS!B310</f>
        <v>VALOR</v>
      </c>
      <c r="C89" s="3">
        <f>DATOS!C310</f>
        <v>0</v>
      </c>
    </row>
    <row r="90" spans="1:3" hidden="1" outlineLevel="1">
      <c r="A90" s="3" t="str">
        <f>DATOS!A311</f>
        <v>Aerogeneradores (como un todo)</v>
      </c>
      <c r="B90" s="3">
        <f>DATOS!B311</f>
        <v>0</v>
      </c>
      <c r="C90" s="3">
        <f>DATOS!C311</f>
        <v>0</v>
      </c>
    </row>
    <row r="91" spans="1:3" hidden="1" outlineLevel="1">
      <c r="A91" s="3" t="str">
        <f>DATOS!A312</f>
        <v>Torres de aerogeneradores</v>
      </c>
      <c r="B91" s="3">
        <f>DATOS!B312</f>
        <v>0</v>
      </c>
      <c r="C91" s="3">
        <f>DATOS!C312</f>
        <v>0</v>
      </c>
    </row>
    <row r="92" spans="1:3" hidden="1" outlineLevel="1">
      <c r="A92" s="3" t="str">
        <f>DATOS!A313</f>
        <v>Ascensores para los aerogeneradores</v>
      </c>
      <c r="B92" s="3">
        <f>DATOS!B313</f>
        <v>0</v>
      </c>
      <c r="C92" s="3">
        <f>DATOS!C313</f>
        <v>0</v>
      </c>
    </row>
    <row r="93" spans="1:3" hidden="1" outlineLevel="1">
      <c r="A93" s="3" t="str">
        <f>DATOS!A314</f>
        <v>Luces de obstrucción y desviadores</v>
      </c>
      <c r="B93" s="3">
        <f>DATOS!B314</f>
        <v>0</v>
      </c>
      <c r="C93" s="3">
        <f>DATOS!C314</f>
        <v>0</v>
      </c>
    </row>
    <row r="94" spans="1:3" hidden="1" outlineLevel="1">
      <c r="A94" s="3" t="str">
        <f>DATOS!A315</f>
        <v>Equipos de compensación de potencia reactiva</v>
      </c>
      <c r="B94" s="3">
        <f>DATOS!B315</f>
        <v>0</v>
      </c>
      <c r="C94" s="3">
        <f>DATOS!C315</f>
        <v>0</v>
      </c>
    </row>
    <row r="95" spans="1:3" hidden="1" outlineLevel="1">
      <c r="A95" s="3" t="str">
        <f>DATOS!A316</f>
        <v>Equipos para la reducción de armónicos</v>
      </c>
      <c r="B95" s="3">
        <f>DATOS!B316</f>
        <v>0</v>
      </c>
      <c r="C95" s="3">
        <f>DATOS!C316</f>
        <v>0</v>
      </c>
    </row>
    <row r="96" spans="1:3" hidden="1" outlineLevel="1">
      <c r="A96" s="3" t="str">
        <f>DATOS!A317</f>
        <v>Certificación de la unidad funcional UPME</v>
      </c>
      <c r="B96" s="3">
        <f>DATOS!B317</f>
        <v>0</v>
      </c>
      <c r="C96" s="3">
        <f>DATOS!C317</f>
        <v>0</v>
      </c>
    </row>
    <row r="97" spans="1:3" hidden="1" outlineLevel="1">
      <c r="A97" s="3" t="str">
        <f>DATOS!A318</f>
        <v>TOTAL INVERSIÓN EÓLICOS</v>
      </c>
      <c r="B97" s="3">
        <f>DATOS!B318</f>
        <v>0</v>
      </c>
      <c r="C97" s="3">
        <f>DATOS!C318</f>
        <v>0</v>
      </c>
    </row>
    <row r="98" spans="1:3" hidden="1" collapsed="1">
      <c r="A98" s="584" t="str">
        <f>DATOS!A319</f>
        <v>INVERSIÓN SISTEMA BIOMASA (BIOGAS)</v>
      </c>
      <c r="B98" s="584"/>
      <c r="C98" s="584"/>
    </row>
    <row r="99" spans="1:3" hidden="1" outlineLevel="1">
      <c r="A99" s="3" t="str">
        <f>DATOS!A320</f>
        <v>EQUIPO</v>
      </c>
      <c r="B99" s="3" t="str">
        <f>DATOS!B320</f>
        <v>VALOR</v>
      </c>
      <c r="C99" s="3">
        <f>DATOS!C320</f>
        <v>0</v>
      </c>
    </row>
    <row r="100" spans="1:3" hidden="1" outlineLevel="1">
      <c r="A100" s="3" t="str">
        <f>DATOS!A321</f>
        <v>Biodigestores</v>
      </c>
      <c r="B100" s="3">
        <f>DATOS!B321</f>
        <v>0</v>
      </c>
      <c r="C100" s="3">
        <f>DATOS!C321</f>
        <v>0</v>
      </c>
    </row>
    <row r="101" spans="1:3" hidden="1" outlineLevel="1">
      <c r="A101" s="3" t="str">
        <f>DATOS!A322</f>
        <v>Digestores y post-digestores</v>
      </c>
      <c r="B101" s="3">
        <f>DATOS!B322</f>
        <v>0</v>
      </c>
      <c r="C101" s="3">
        <f>DATOS!C322</f>
        <v>0</v>
      </c>
    </row>
    <row r="102" spans="1:3" hidden="1" outlineLevel="1">
      <c r="A102" s="3" t="str">
        <f>DATOS!A323</f>
        <v>Tanques de almacenamiento.</v>
      </c>
      <c r="B102" s="3">
        <f>DATOS!B323</f>
        <v>0</v>
      </c>
      <c r="C102" s="3">
        <f>DATOS!C323</f>
        <v>0</v>
      </c>
    </row>
    <row r="103" spans="1:3" hidden="1" outlineLevel="1">
      <c r="A103" s="3" t="str">
        <f>DATOS!A324</f>
        <v>Equipos de medición de
producción de biogás y concentración de metano</v>
      </c>
      <c r="B103" s="3">
        <f>DATOS!B324</f>
        <v>0</v>
      </c>
      <c r="C103" s="3">
        <f>DATOS!C324</f>
        <v>0</v>
      </c>
    </row>
    <row r="104" spans="1:3" hidden="1" outlineLevel="1">
      <c r="A104" s="3" t="str">
        <f>DATOS!A325</f>
        <v>Equipos para desulfuración de biogás y remoción de impurezas</v>
      </c>
      <c r="B104" s="3">
        <f>DATOS!B325</f>
        <v>0</v>
      </c>
      <c r="C104" s="3">
        <f>DATOS!C325</f>
        <v>0</v>
      </c>
    </row>
    <row r="105" spans="1:3" hidden="1" outlineLevel="1">
      <c r="A105" s="3" t="str">
        <f>DATOS!A326</f>
        <v xml:space="preserve">Equipos para remoción de CO2 de biogás </v>
      </c>
      <c r="B105" s="3">
        <f>DATOS!B326</f>
        <v>0</v>
      </c>
      <c r="C105" s="3">
        <f>DATOS!C326</f>
        <v>0</v>
      </c>
    </row>
    <row r="106" spans="1:3" hidden="1" outlineLevel="1">
      <c r="A106" s="3" t="str">
        <f>DATOS!A327</f>
        <v>Ventiladores / sopladores para flujo de biogás</v>
      </c>
      <c r="B106" s="3">
        <f>DATOS!B327</f>
        <v>0</v>
      </c>
      <c r="C106" s="3">
        <f>DATOS!C327</f>
        <v>0</v>
      </c>
    </row>
    <row r="107" spans="1:3" hidden="1" outlineLevel="1">
      <c r="A107" s="3" t="str">
        <f>DATOS!A328</f>
        <v>Válvulas</v>
      </c>
      <c r="B107" s="3">
        <f>DATOS!B328</f>
        <v>0</v>
      </c>
      <c r="C107" s="3">
        <f>DATOS!C328</f>
        <v>0</v>
      </c>
    </row>
    <row r="108" spans="1:3" hidden="1" outlineLevel="1">
      <c r="A108" s="3" t="str">
        <f>DATOS!A329</f>
        <v>Trampas: de ácido sulfhídrico, de llama, de agua</v>
      </c>
      <c r="B108" s="3">
        <f>DATOS!B329</f>
        <v>0</v>
      </c>
      <c r="C108" s="3">
        <f>DATOS!C329</f>
        <v>0</v>
      </c>
    </row>
    <row r="109" spans="1:3" hidden="1" outlineLevel="1">
      <c r="A109" s="3" t="str">
        <f>DATOS!A330</f>
        <v>Calderas</v>
      </c>
      <c r="B109" s="3">
        <f>DATOS!B330</f>
        <v>0</v>
      </c>
      <c r="C109" s="3">
        <f>DATOS!C330</f>
        <v>0</v>
      </c>
    </row>
    <row r="110" spans="1:3" hidden="1" outlineLevel="1">
      <c r="A110" s="3" t="str">
        <f>DATOS!A331</f>
        <v>Hornos</v>
      </c>
      <c r="B110" s="3">
        <f>DATOS!B331</f>
        <v>0</v>
      </c>
      <c r="C110" s="3">
        <f>DATOS!C331</f>
        <v>0</v>
      </c>
    </row>
    <row r="111" spans="1:3" hidden="1" outlineLevel="1">
      <c r="A111" s="3" t="str">
        <f>DATOS!A332</f>
        <v>Teas de emergencia</v>
      </c>
      <c r="B111" s="3">
        <f>DATOS!B332</f>
        <v>0</v>
      </c>
      <c r="C111" s="3">
        <f>DATOS!C332</f>
        <v>0</v>
      </c>
    </row>
    <row r="112" spans="1:3" hidden="1" outlineLevel="1">
      <c r="A112" s="3" t="str">
        <f>DATOS!A333</f>
        <v>Certificación de la unidad funcional UPME</v>
      </c>
      <c r="B112" s="3">
        <f>DATOS!B333</f>
        <v>0</v>
      </c>
      <c r="C112" s="3">
        <f>DATOS!C333</f>
        <v>0</v>
      </c>
    </row>
    <row r="113" spans="1:3" hidden="1" outlineLevel="1">
      <c r="A113" s="3" t="str">
        <f>DATOS!A334</f>
        <v>TOTAL INVERSIÓN BIOMASA</v>
      </c>
      <c r="B113" s="3">
        <f>DATOS!B334</f>
        <v>0</v>
      </c>
      <c r="C113" s="3">
        <f>DATOS!C334</f>
        <v>0</v>
      </c>
    </row>
    <row r="114" spans="1:3" hidden="1" collapsed="1">
      <c r="A114" s="584" t="str">
        <f>DATOS!A335</f>
        <v>INVERSIÓN PEQUEÑAS HIDROELÉCTRICAS</v>
      </c>
      <c r="B114" s="584"/>
      <c r="C114" s="584"/>
    </row>
    <row r="115" spans="1:3" hidden="1" outlineLevel="1">
      <c r="A115" s="3" t="str">
        <f>DATOS!A336</f>
        <v>EQUIPO</v>
      </c>
      <c r="B115" s="3" t="str">
        <f>DATOS!B336</f>
        <v>VALOR</v>
      </c>
      <c r="C115" s="3">
        <f>DATOS!C336</f>
        <v>0</v>
      </c>
    </row>
    <row r="116" spans="1:3" hidden="1" outlineLevel="1">
      <c r="A116" s="3" t="str">
        <f>DATOS!A337</f>
        <v>Tuberías</v>
      </c>
      <c r="B116" s="3">
        <f>DATOS!B337</f>
        <v>0</v>
      </c>
      <c r="C116" s="3">
        <f>DATOS!C337</f>
        <v>0</v>
      </c>
    </row>
    <row r="117" spans="1:3" hidden="1" outlineLevel="1">
      <c r="A117" s="3" t="str">
        <f>DATOS!A338</f>
        <v>Chimeneas de equilibrio, aliviaderos</v>
      </c>
      <c r="B117" s="3">
        <f>DATOS!B338</f>
        <v>0</v>
      </c>
      <c r="C117" s="3">
        <f>DATOS!C338</f>
        <v>0</v>
      </c>
    </row>
    <row r="118" spans="1:3" hidden="1" outlineLevel="1">
      <c r="A118" s="3" t="str">
        <f>DATOS!A339</f>
        <v>Válvulas y compuertas</v>
      </c>
      <c r="B118" s="3">
        <f>DATOS!B339</f>
        <v>0</v>
      </c>
      <c r="C118" s="3">
        <f>DATOS!C339</f>
        <v>0</v>
      </c>
    </row>
    <row r="119" spans="1:3" hidden="1" outlineLevel="1">
      <c r="A119" s="3" t="str">
        <f>DATOS!A340</f>
        <v>Turbinas</v>
      </c>
      <c r="B119" s="3">
        <f>DATOS!B340</f>
        <v>0</v>
      </c>
      <c r="C119" s="3">
        <f>DATOS!C340</f>
        <v>0</v>
      </c>
    </row>
    <row r="120" spans="1:3" hidden="1" outlineLevel="1">
      <c r="A120" s="3" t="str">
        <f>DATOS!A341</f>
        <v>Turbogeneradores</v>
      </c>
      <c r="B120" s="3">
        <f>DATOS!B341</f>
        <v>0</v>
      </c>
      <c r="C120" s="3">
        <f>DATOS!C341</f>
        <v>0</v>
      </c>
    </row>
    <row r="121" spans="1:3" hidden="1" outlineLevel="1">
      <c r="A121" s="3" t="str">
        <f>DATOS!A342</f>
        <v>Dispositivos de regulación y tubos difusores</v>
      </c>
      <c r="B121" s="3">
        <f>DATOS!B342</f>
        <v>0</v>
      </c>
      <c r="C121" s="3">
        <f>DATOS!C342</f>
        <v>0</v>
      </c>
    </row>
    <row r="122" spans="1:3" hidden="1" outlineLevel="1">
      <c r="A122" s="3" t="str">
        <f>DATOS!A343</f>
        <v>Bombas y motores</v>
      </c>
      <c r="B122" s="3">
        <f>DATOS!B343</f>
        <v>0</v>
      </c>
      <c r="C122" s="3">
        <f>DATOS!C343</f>
        <v>0</v>
      </c>
    </row>
    <row r="123" spans="1:3" hidden="1" outlineLevel="1">
      <c r="A123" s="3" t="str">
        <f>DATOS!A344</f>
        <v>Elementos hidromecánicos (rejas coladeras y equipo limpia rejas)</v>
      </c>
      <c r="B123" s="3">
        <f>DATOS!B344</f>
        <v>0</v>
      </c>
      <c r="C123" s="3">
        <f>DATOS!C344</f>
        <v>0</v>
      </c>
    </row>
    <row r="124" spans="1:3" hidden="1" outlineLevel="1">
      <c r="A124" s="3" t="str">
        <f>DATOS!A345</f>
        <v>Generadores</v>
      </c>
      <c r="B124" s="3">
        <f>DATOS!B345</f>
        <v>0</v>
      </c>
      <c r="C124" s="3">
        <f>DATOS!C345</f>
        <v>0</v>
      </c>
    </row>
    <row r="125" spans="1:3" hidden="1" outlineLevel="1">
      <c r="A125" s="3" t="str">
        <f>DATOS!A346</f>
        <v>Transformadores de excitación y rectificadores</v>
      </c>
      <c r="B125" s="3">
        <f>DATOS!B346</f>
        <v>0</v>
      </c>
      <c r="C125" s="3">
        <f>DATOS!C346</f>
        <v>0</v>
      </c>
    </row>
    <row r="126" spans="1:3" hidden="1" outlineLevel="1">
      <c r="A126" s="3" t="str">
        <f>DATOS!A347</f>
        <v>Equipos de regulación de tensión, velocidad, control, protección y medida</v>
      </c>
      <c r="B126" s="3">
        <f>DATOS!B347</f>
        <v>0</v>
      </c>
      <c r="C126" s="3">
        <f>DATOS!C347</f>
        <v>0</v>
      </c>
    </row>
    <row r="127" spans="1:3" hidden="1" outlineLevel="1">
      <c r="A127" s="3" t="str">
        <f>DATOS!A348</f>
        <v>Certificación de la unidad funcional UPME</v>
      </c>
      <c r="B127" s="3">
        <f>DATOS!B348</f>
        <v>0</v>
      </c>
      <c r="C127" s="3">
        <f>DATOS!C348</f>
        <v>0</v>
      </c>
    </row>
    <row r="128" spans="1:3" hidden="1" outlineLevel="1">
      <c r="A128" s="3" t="str">
        <f>DATOS!A349</f>
        <v>TOTAL INVERSIÓN PEQUEÑAS HIDROELÉCTRICAS</v>
      </c>
      <c r="B128" s="3">
        <f>DATOS!B349</f>
        <v>0</v>
      </c>
      <c r="C128" s="3">
        <f>DATOS!C349</f>
        <v>0</v>
      </c>
    </row>
    <row r="129" spans="1:3" hidden="1" collapsed="1">
      <c r="A129" s="584" t="str">
        <f>DATOS!A350</f>
        <v>INVERSIÓN SISTEMA GEOTÉRMICO</v>
      </c>
      <c r="B129" s="584"/>
      <c r="C129" s="584"/>
    </row>
    <row r="130" spans="1:3" hidden="1" outlineLevel="1">
      <c r="A130" s="3" t="str">
        <f>DATOS!A351</f>
        <v>EQUIPO</v>
      </c>
      <c r="B130" s="3" t="str">
        <f>DATOS!B351</f>
        <v>VALOR</v>
      </c>
      <c r="C130" s="3">
        <f>DATOS!C351</f>
        <v>0</v>
      </c>
    </row>
    <row r="131" spans="1:3" hidden="1" outlineLevel="1">
      <c r="A131" s="3" t="str">
        <f>DATOS!A352</f>
        <v>Bombas centrífugas, electrosumergibles, de calor geotérmicas</v>
      </c>
      <c r="B131" s="3">
        <f>DATOS!B352</f>
        <v>0</v>
      </c>
      <c r="C131" s="3">
        <f>DATOS!C352</f>
        <v>0</v>
      </c>
    </row>
    <row r="132" spans="1:3" hidden="1" outlineLevel="1">
      <c r="A132" s="3" t="str">
        <f>DATOS!A353</f>
        <v>Válvulas</v>
      </c>
      <c r="B132" s="3">
        <f>DATOS!B353</f>
        <v>0</v>
      </c>
      <c r="C132" s="3">
        <f>DATOS!C353</f>
        <v>0</v>
      </c>
    </row>
    <row r="133" spans="1:3" hidden="1" outlineLevel="1">
      <c r="A133" s="3" t="str">
        <f>DATOS!A354</f>
        <v>Silenciadores</v>
      </c>
      <c r="B133" s="3">
        <f>DATOS!B354</f>
        <v>0</v>
      </c>
      <c r="C133" s="3">
        <f>DATOS!C354</f>
        <v>0</v>
      </c>
    </row>
    <row r="134" spans="1:3" hidden="1" outlineLevel="1">
      <c r="A134" s="3" t="str">
        <f>DATOS!A355</f>
        <v>Desarenadoras</v>
      </c>
      <c r="B134" s="3">
        <f>DATOS!B355</f>
        <v>0</v>
      </c>
      <c r="C134" s="3">
        <f>DATOS!C355</f>
        <v>0</v>
      </c>
    </row>
    <row r="135" spans="1:3" hidden="1" outlineLevel="1">
      <c r="A135" s="3" t="str">
        <f>DATOS!A356</f>
        <v>Tuberías de vapor, salmuera</v>
      </c>
      <c r="B135" s="3">
        <f>DATOS!B356</f>
        <v>0</v>
      </c>
      <c r="C135" s="3">
        <f>DATOS!C356</f>
        <v>0</v>
      </c>
    </row>
    <row r="136" spans="1:3" hidden="1" outlineLevel="1">
      <c r="A136" s="3" t="str">
        <f>DATOS!A357</f>
        <v>Separadores de vapor o de humedad</v>
      </c>
      <c r="B136" s="3">
        <f>DATOS!B357</f>
        <v>0</v>
      </c>
      <c r="C136" s="3">
        <f>DATOS!C357</f>
        <v>0</v>
      </c>
    </row>
    <row r="137" spans="1:3" hidden="1" outlineLevel="1">
      <c r="A137" s="3" t="str">
        <f>DATOS!A358</f>
        <v>Tanques de almacenamiento</v>
      </c>
      <c r="B137" s="3">
        <f>DATOS!B358</f>
        <v>0</v>
      </c>
      <c r="C137" s="3">
        <f>DATOS!C358</f>
        <v>0</v>
      </c>
    </row>
    <row r="138" spans="1:3" hidden="1" outlineLevel="1">
      <c r="A138" s="3" t="str">
        <f>DATOS!A359</f>
        <v>Intercambiadores de calor, evaporadores o condensadores</v>
      </c>
      <c r="B138" s="3">
        <f>DATOS!B359</f>
        <v>0</v>
      </c>
      <c r="C138" s="3">
        <f>DATOS!C359</f>
        <v>0</v>
      </c>
    </row>
    <row r="139" spans="1:3" hidden="1" outlineLevel="1">
      <c r="A139" s="3" t="str">
        <f>DATOS!A360</f>
        <v>Turbinas especiales para aplicaciones geotérmicas</v>
      </c>
      <c r="B139" s="3">
        <f>DATOS!B360</f>
        <v>0</v>
      </c>
      <c r="C139" s="3">
        <f>DATOS!C360</f>
        <v>0</v>
      </c>
    </row>
    <row r="140" spans="1:3" hidden="1" outlineLevel="1">
      <c r="A140" s="3" t="str">
        <f>DATOS!A361</f>
        <v>Generadores</v>
      </c>
      <c r="B140" s="3">
        <f>DATOS!B361</f>
        <v>0</v>
      </c>
      <c r="C140" s="3">
        <f>DATOS!C361</f>
        <v>0</v>
      </c>
    </row>
    <row r="141" spans="1:3" hidden="1" outlineLevel="1">
      <c r="A141" s="3" t="str">
        <f>DATOS!A362</f>
        <v>Manómetro, temperatura y flujo másico de fluidos y vapor</v>
      </c>
      <c r="B141" s="3">
        <f>DATOS!B362</f>
        <v>0</v>
      </c>
      <c r="C141" s="3">
        <f>DATOS!C362</f>
        <v>0</v>
      </c>
    </row>
    <row r="142" spans="1:3" hidden="1" outlineLevel="1">
      <c r="A142" s="3" t="str">
        <f>DATOS!A363</f>
        <v>Eyectores de vapor (NCG &amp; H2S)</v>
      </c>
      <c r="B142" s="3">
        <f>DATOS!B363</f>
        <v>0</v>
      </c>
      <c r="C142" s="3">
        <f>DATOS!C363</f>
        <v>0</v>
      </c>
    </row>
    <row r="143" spans="1:3" hidden="1" outlineLevel="1">
      <c r="A143" s="3" t="str">
        <f>DATOS!A364</f>
        <v>Compresores</v>
      </c>
      <c r="B143" s="3">
        <f>DATOS!B364</f>
        <v>0</v>
      </c>
      <c r="C143" s="3">
        <f>DATOS!C364</f>
        <v>0</v>
      </c>
    </row>
    <row r="144" spans="1:3" hidden="1" outlineLevel="1">
      <c r="A144" s="3" t="str">
        <f>DATOS!A365</f>
        <v>Sistemas de condensado: condensadores, torres de enfriamiento</v>
      </c>
      <c r="B144" s="3">
        <f>DATOS!B365</f>
        <v>0</v>
      </c>
      <c r="C144" s="3">
        <f>DATOS!C365</f>
        <v>0</v>
      </c>
    </row>
    <row r="145" spans="1:14" hidden="1" outlineLevel="1">
      <c r="A145" s="3" t="str">
        <f>DATOS!A366</f>
        <v>Depuradores</v>
      </c>
      <c r="B145" s="3">
        <f>DATOS!B366</f>
        <v>0</v>
      </c>
      <c r="C145" s="3">
        <f>DATOS!C366</f>
        <v>0</v>
      </c>
    </row>
    <row r="146" spans="1:14" hidden="1" outlineLevel="1">
      <c r="A146" s="3" t="str">
        <f>DATOS!A367</f>
        <v>Elementos estructurales de pozos</v>
      </c>
      <c r="B146" s="3">
        <f>DATOS!B367</f>
        <v>0</v>
      </c>
      <c r="C146" s="3">
        <f>DATOS!C367</f>
        <v>0</v>
      </c>
    </row>
    <row r="147" spans="1:14" hidden="1" outlineLevel="1">
      <c r="A147" s="3" t="str">
        <f>DATOS!A368</f>
        <v>Removedores y filtros</v>
      </c>
      <c r="B147" s="3">
        <f>DATOS!B368</f>
        <v>0</v>
      </c>
      <c r="C147" s="3">
        <f>DATOS!C368</f>
        <v>0</v>
      </c>
    </row>
    <row r="148" spans="1:14" hidden="1" outlineLevel="1">
      <c r="A148" s="3" t="str">
        <f>DATOS!A369</f>
        <v>Equipos anti explosión durante perforación</v>
      </c>
      <c r="B148" s="3">
        <f>DATOS!B369</f>
        <v>0</v>
      </c>
      <c r="C148" s="3">
        <f>DATOS!C369</f>
        <v>0</v>
      </c>
    </row>
    <row r="149" spans="1:14" hidden="1" outlineLevel="1">
      <c r="A149" s="3" t="str">
        <f>DATOS!A370</f>
        <v>Cámara de flash</v>
      </c>
      <c r="B149" s="3">
        <f>DATOS!B370</f>
        <v>0</v>
      </c>
      <c r="C149" s="3">
        <f>DATOS!C370</f>
        <v>0</v>
      </c>
    </row>
    <row r="150" spans="1:14" hidden="1" outlineLevel="1">
      <c r="A150" s="3" t="str">
        <f>DATOS!A371</f>
        <v>Equipos de recolección y transporte de vapor a la planta</v>
      </c>
      <c r="B150" s="3">
        <f>DATOS!B371</f>
        <v>0</v>
      </c>
      <c r="C150" s="3">
        <f>DATOS!C371</f>
        <v>0</v>
      </c>
    </row>
    <row r="151" spans="1:14" hidden="1" outlineLevel="1">
      <c r="A151" s="3" t="str">
        <f>DATOS!A372</f>
        <v>Equipos de recolección y transporte de fluidos a los pozos de reinyección</v>
      </c>
      <c r="B151" s="3">
        <f>DATOS!B372</f>
        <v>0</v>
      </c>
      <c r="C151" s="3">
        <f>DATOS!C372</f>
        <v>0</v>
      </c>
    </row>
    <row r="152" spans="1:14" hidden="1" outlineLevel="1">
      <c r="A152" s="3" t="str">
        <f>DATOS!A373</f>
        <v>Certificación de la unidad funcional UPME</v>
      </c>
      <c r="B152" s="3">
        <f>DATOS!B373</f>
        <v>0</v>
      </c>
      <c r="C152" s="3">
        <f>DATOS!C373</f>
        <v>0</v>
      </c>
    </row>
    <row r="153" spans="1:14" ht="15" hidden="1" outlineLevel="1" thickBot="1">
      <c r="A153" s="3" t="str">
        <f>DATOS!A374</f>
        <v>TOTAL INVERSIÓN SISTEMA GEOTÉRMICO</v>
      </c>
      <c r="B153" s="3">
        <f>DATOS!B374</f>
        <v>0</v>
      </c>
      <c r="C153" s="3">
        <f>DATOS!C374</f>
        <v>0</v>
      </c>
    </row>
    <row r="154" spans="1:14" outlineLevel="1">
      <c r="A154" s="585" t="s">
        <v>2588</v>
      </c>
      <c r="B154" s="586"/>
      <c r="C154" s="586"/>
      <c r="D154" s="586"/>
      <c r="E154" s="586"/>
      <c r="F154" s="586"/>
      <c r="G154" s="586"/>
      <c r="H154" s="586"/>
      <c r="I154" s="586"/>
      <c r="J154" s="586"/>
      <c r="K154" s="586"/>
      <c r="L154" s="587"/>
      <c r="M154" s="257"/>
      <c r="N154" s="257"/>
    </row>
    <row r="155" spans="1:14" ht="15" outlineLevel="1" thickBot="1">
      <c r="A155" s="588"/>
      <c r="B155" s="589"/>
      <c r="C155" s="589"/>
      <c r="D155" s="589"/>
      <c r="E155" s="589"/>
      <c r="F155" s="589"/>
      <c r="G155" s="589"/>
      <c r="H155" s="589"/>
      <c r="I155" s="589"/>
      <c r="J155" s="589"/>
      <c r="K155" s="589"/>
      <c r="L155" s="590"/>
      <c r="M155" s="257"/>
      <c r="N155" s="257"/>
    </row>
    <row r="156" spans="1:14" ht="15" outlineLevel="1" thickBot="1">
      <c r="A156" s="257"/>
      <c r="B156" s="257"/>
      <c r="C156" s="257"/>
      <c r="D156" s="257"/>
      <c r="E156" s="257"/>
      <c r="F156" s="257"/>
      <c r="G156" s="257"/>
      <c r="H156" s="257"/>
      <c r="I156" s="257"/>
      <c r="J156" s="257"/>
      <c r="K156" s="257"/>
      <c r="L156" s="257"/>
      <c r="M156" s="257"/>
      <c r="N156" s="257"/>
    </row>
    <row r="157" spans="1:14">
      <c r="A157" s="271" t="s">
        <v>2589</v>
      </c>
      <c r="B157" s="272" t="s">
        <v>2590</v>
      </c>
      <c r="C157" s="272" t="s">
        <v>2265</v>
      </c>
      <c r="D157" s="272" t="s">
        <v>2266</v>
      </c>
      <c r="E157" s="272" t="s">
        <v>2267</v>
      </c>
      <c r="F157" s="272" t="s">
        <v>2268</v>
      </c>
      <c r="G157" s="272" t="s">
        <v>2269</v>
      </c>
      <c r="H157" s="272" t="s">
        <v>2270</v>
      </c>
      <c r="I157" s="272" t="s">
        <v>2271</v>
      </c>
      <c r="J157" s="272" t="s">
        <v>2272</v>
      </c>
      <c r="K157" s="272" t="s">
        <v>2273</v>
      </c>
      <c r="L157" s="273" t="s">
        <v>2274</v>
      </c>
      <c r="M157" s="257"/>
      <c r="N157" s="257"/>
    </row>
    <row r="158" spans="1:14">
      <c r="A158" s="274" t="s">
        <v>2591</v>
      </c>
      <c r="B158" s="263">
        <f>IF(DATOS!B80="SOLAR FOTOVOLTAICO",B7+B21+B87,IF(DATOS!B80="EÓLICO",B7+B38+B97,IF(DATOS!B80="BIOMASA",B7+B47+B113,IF(DATOS!B80="PEQUEÑAS HIDROELÉCTRICAS",B7+B57+B128,IF(DATOS!B80="GEOTÉRMICO",B7+B71+B153,IF(DATOS!B80="HÍBRIDA",B7+B21+B38+B47+B57+B71+B87+B97+B113+B128+B153,0))))))</f>
        <v>355481762.57404</v>
      </c>
      <c r="C158" s="263"/>
      <c r="D158" s="263"/>
      <c r="E158" s="263"/>
      <c r="F158" s="263"/>
      <c r="G158" s="263"/>
      <c r="H158" s="263"/>
      <c r="I158" s="263"/>
      <c r="J158" s="263"/>
      <c r="K158" s="263"/>
      <c r="L158" s="84"/>
      <c r="M158" s="257"/>
      <c r="N158" s="257"/>
    </row>
    <row r="159" spans="1:14">
      <c r="A159" s="274" t="s">
        <v>2592</v>
      </c>
      <c r="B159" s="263">
        <f>C159</f>
        <v>355481762.57404</v>
      </c>
      <c r="C159" s="263">
        <f>IF(DATOS!$B$80="SOLAR FOTOVOLTAICO",B87,IF(DATOS!$B$80="EÓLICO",B97,IF(DATOS!$B$80="BIOMASA",B113,IF(DATOS!$B$80="PEQUEÑAS HIDROELÉCTRICAS",B128,B153))))</f>
        <v>355481762.57404</v>
      </c>
      <c r="D159" s="263">
        <f t="shared" ref="D159:L159" si="0">$C$159</f>
        <v>355481762.57404</v>
      </c>
      <c r="E159" s="263">
        <f t="shared" si="0"/>
        <v>355481762.57404</v>
      </c>
      <c r="F159" s="263">
        <f t="shared" si="0"/>
        <v>355481762.57404</v>
      </c>
      <c r="G159" s="263">
        <f t="shared" si="0"/>
        <v>355481762.57404</v>
      </c>
      <c r="H159" s="263">
        <f t="shared" si="0"/>
        <v>355481762.57404</v>
      </c>
      <c r="I159" s="263">
        <f t="shared" si="0"/>
        <v>355481762.57404</v>
      </c>
      <c r="J159" s="263">
        <f t="shared" si="0"/>
        <v>355481762.57404</v>
      </c>
      <c r="K159" s="263">
        <f t="shared" si="0"/>
        <v>355481762.57404</v>
      </c>
      <c r="L159" s="84">
        <f t="shared" si="0"/>
        <v>355481762.57404</v>
      </c>
      <c r="M159" s="257"/>
      <c r="N159" s="257"/>
    </row>
    <row r="160" spans="1:14">
      <c r="A160" s="274" t="s">
        <v>2593</v>
      </c>
      <c r="B160" s="263"/>
      <c r="C160" s="263">
        <f t="shared" ref="C160:L160" si="1">C159/10</f>
        <v>35548176.257404</v>
      </c>
      <c r="D160" s="263">
        <f t="shared" si="1"/>
        <v>35548176.257404</v>
      </c>
      <c r="E160" s="263">
        <f t="shared" si="1"/>
        <v>35548176.257404</v>
      </c>
      <c r="F160" s="263">
        <f t="shared" si="1"/>
        <v>35548176.257404</v>
      </c>
      <c r="G160" s="263">
        <f t="shared" si="1"/>
        <v>35548176.257404</v>
      </c>
      <c r="H160" s="263">
        <f t="shared" si="1"/>
        <v>35548176.257404</v>
      </c>
      <c r="I160" s="263">
        <f t="shared" si="1"/>
        <v>35548176.257404</v>
      </c>
      <c r="J160" s="263">
        <f t="shared" si="1"/>
        <v>35548176.257404</v>
      </c>
      <c r="K160" s="263">
        <f t="shared" si="1"/>
        <v>35548176.257404</v>
      </c>
      <c r="L160" s="84">
        <f t="shared" si="1"/>
        <v>35548176.257404</v>
      </c>
      <c r="M160" s="257"/>
      <c r="N160" s="257"/>
    </row>
    <row r="161" spans="1:14">
      <c r="A161" s="274" t="s">
        <v>2594</v>
      </c>
      <c r="B161" s="263"/>
      <c r="C161" s="263">
        <f>C160</f>
        <v>35548176.257404</v>
      </c>
      <c r="D161" s="263">
        <f>D160+C161</f>
        <v>71096352.514807999</v>
      </c>
      <c r="E161" s="263">
        <f t="shared" ref="E161:L161" si="2">E160+D161</f>
        <v>106644528.772212</v>
      </c>
      <c r="F161" s="263">
        <f t="shared" si="2"/>
        <v>142192705.029616</v>
      </c>
      <c r="G161" s="263">
        <f t="shared" si="2"/>
        <v>177740881.28702</v>
      </c>
      <c r="H161" s="263">
        <f t="shared" si="2"/>
        <v>213289057.544424</v>
      </c>
      <c r="I161" s="263">
        <f t="shared" si="2"/>
        <v>248837233.801828</v>
      </c>
      <c r="J161" s="263">
        <f t="shared" si="2"/>
        <v>284385410.059232</v>
      </c>
      <c r="K161" s="263">
        <f t="shared" si="2"/>
        <v>319933586.31663597</v>
      </c>
      <c r="L161" s="84">
        <f t="shared" si="2"/>
        <v>355481762.57403994</v>
      </c>
      <c r="M161" s="257"/>
      <c r="N161" s="257"/>
    </row>
    <row r="162" spans="1:14" ht="15" thickBot="1">
      <c r="A162" s="275" t="s">
        <v>2595</v>
      </c>
      <c r="B162" s="270"/>
      <c r="C162" s="270">
        <f>C159-C161</f>
        <v>319933586.31663597</v>
      </c>
      <c r="D162" s="270">
        <f t="shared" ref="D162:L162" si="3">D159-D161</f>
        <v>284385410.059232</v>
      </c>
      <c r="E162" s="270">
        <f t="shared" si="3"/>
        <v>248837233.801828</v>
      </c>
      <c r="F162" s="270">
        <f t="shared" si="3"/>
        <v>213289057.544424</v>
      </c>
      <c r="G162" s="270">
        <f t="shared" si="3"/>
        <v>177740881.28702</v>
      </c>
      <c r="H162" s="270">
        <f t="shared" si="3"/>
        <v>142192705.029616</v>
      </c>
      <c r="I162" s="270">
        <f t="shared" si="3"/>
        <v>106644528.772212</v>
      </c>
      <c r="J162" s="270">
        <f t="shared" si="3"/>
        <v>71096352.514807999</v>
      </c>
      <c r="K162" s="270">
        <f t="shared" si="3"/>
        <v>35548176.257404029</v>
      </c>
      <c r="L162" s="258">
        <f t="shared" si="3"/>
        <v>0</v>
      </c>
      <c r="M162" s="257"/>
      <c r="N162" s="257"/>
    </row>
    <row r="163" spans="1:14" ht="15" thickBot="1">
      <c r="A163" s="257"/>
      <c r="B163" s="257"/>
      <c r="C163" s="257"/>
      <c r="D163" s="257"/>
      <c r="E163" s="257"/>
      <c r="F163" s="257"/>
      <c r="G163" s="257"/>
      <c r="H163" s="257"/>
      <c r="I163" s="257"/>
      <c r="J163" s="257"/>
      <c r="K163" s="257"/>
      <c r="L163" s="257"/>
      <c r="M163" s="257"/>
      <c r="N163" s="257"/>
    </row>
    <row r="164" spans="1:14">
      <c r="A164" s="591" t="s">
        <v>2596</v>
      </c>
      <c r="B164" s="592"/>
      <c r="C164" s="592"/>
      <c r="D164" s="592"/>
      <c r="E164" s="592"/>
      <c r="F164" s="593"/>
      <c r="G164" s="257"/>
      <c r="H164" s="600" t="s">
        <v>2591</v>
      </c>
      <c r="I164" s="601"/>
      <c r="J164" s="604">
        <f>B158</f>
        <v>355481762.57404</v>
      </c>
      <c r="K164" s="257"/>
      <c r="L164" s="257"/>
      <c r="M164" s="257"/>
      <c r="N164" s="257"/>
    </row>
    <row r="165" spans="1:14" ht="15" thickBot="1">
      <c r="A165" s="594"/>
      <c r="B165" s="595"/>
      <c r="C165" s="595"/>
      <c r="D165" s="595"/>
      <c r="E165" s="595"/>
      <c r="F165" s="596"/>
      <c r="G165" s="257"/>
      <c r="H165" s="602"/>
      <c r="I165" s="603"/>
      <c r="J165" s="605"/>
      <c r="K165" s="257"/>
      <c r="L165" s="257"/>
      <c r="M165" s="257"/>
      <c r="N165" s="257"/>
    </row>
    <row r="166" spans="1:14" ht="15" thickBot="1">
      <c r="A166" s="594"/>
      <c r="B166" s="595"/>
      <c r="C166" s="595"/>
      <c r="D166" s="595"/>
      <c r="E166" s="595"/>
      <c r="F166" s="596"/>
      <c r="G166" s="257"/>
      <c r="H166" s="257"/>
      <c r="I166" s="257"/>
      <c r="J166" s="257"/>
      <c r="K166" s="257"/>
      <c r="L166" s="257"/>
      <c r="M166" s="257"/>
      <c r="N166" s="257"/>
    </row>
    <row r="167" spans="1:14">
      <c r="A167" s="594"/>
      <c r="B167" s="595"/>
      <c r="C167" s="595"/>
      <c r="D167" s="595"/>
      <c r="E167" s="595"/>
      <c r="F167" s="596"/>
      <c r="G167" s="257"/>
      <c r="H167" s="600" t="s">
        <v>2569</v>
      </c>
      <c r="I167" s="601"/>
      <c r="J167" s="604">
        <f>C159</f>
        <v>355481762.57404</v>
      </c>
      <c r="K167" s="606">
        <f>IF(J164=0,0,J167/J164)</f>
        <v>1</v>
      </c>
      <c r="L167" s="257"/>
      <c r="M167" s="257"/>
      <c r="N167" s="257"/>
    </row>
    <row r="168" spans="1:14" ht="15" thickBot="1">
      <c r="A168" s="594"/>
      <c r="B168" s="595"/>
      <c r="C168" s="595"/>
      <c r="D168" s="595"/>
      <c r="E168" s="595"/>
      <c r="F168" s="596"/>
      <c r="G168" s="257"/>
      <c r="H168" s="602"/>
      <c r="I168" s="603"/>
      <c r="J168" s="605"/>
      <c r="K168" s="607"/>
      <c r="L168" s="257"/>
      <c r="M168" s="257"/>
      <c r="N168" s="257"/>
    </row>
    <row r="169" spans="1:14" ht="15" thickBot="1">
      <c r="A169" s="597"/>
      <c r="B169" s="598"/>
      <c r="C169" s="598"/>
      <c r="D169" s="598"/>
      <c r="E169" s="598"/>
      <c r="F169" s="599"/>
      <c r="G169" s="257"/>
      <c r="H169" s="257"/>
      <c r="I169" s="257"/>
      <c r="J169" s="257"/>
      <c r="K169" s="257"/>
      <c r="L169" s="257"/>
      <c r="M169" s="257"/>
      <c r="N169" s="257"/>
    </row>
    <row r="170" spans="1:14">
      <c r="A170" s="257"/>
      <c r="B170" s="257"/>
      <c r="C170" s="257"/>
      <c r="D170" s="257"/>
      <c r="E170" s="257"/>
      <c r="F170" s="257"/>
      <c r="G170" s="257"/>
      <c r="H170" s="257"/>
      <c r="I170" s="257"/>
      <c r="J170" s="257"/>
      <c r="K170" s="257"/>
      <c r="L170" s="257"/>
      <c r="M170" s="257"/>
      <c r="N170" s="257"/>
    </row>
    <row r="171" spans="1:14">
      <c r="A171" s="257"/>
      <c r="B171" s="257"/>
      <c r="C171" s="257"/>
      <c r="D171" s="257"/>
      <c r="E171" s="257"/>
      <c r="F171" s="257"/>
      <c r="G171" s="257"/>
      <c r="H171" s="257"/>
      <c r="I171" s="257"/>
      <c r="J171" s="257"/>
      <c r="K171" s="257"/>
      <c r="L171" s="257"/>
      <c r="M171" s="257"/>
      <c r="N171" s="257"/>
    </row>
    <row r="172" spans="1:14">
      <c r="A172" s="257"/>
      <c r="B172" s="257"/>
      <c r="C172" s="257"/>
      <c r="D172" s="257"/>
      <c r="E172" s="257"/>
      <c r="F172" s="257"/>
      <c r="G172" s="257"/>
      <c r="H172" s="257"/>
      <c r="I172" s="257"/>
      <c r="J172" s="257"/>
      <c r="K172" s="257"/>
      <c r="L172" s="257"/>
      <c r="M172" s="257"/>
      <c r="N172" s="257"/>
    </row>
    <row r="173" spans="1:14">
      <c r="A173" s="257"/>
      <c r="B173" s="257"/>
      <c r="C173" s="257"/>
      <c r="D173" s="257"/>
      <c r="E173" s="257"/>
      <c r="F173" s="257"/>
      <c r="G173" s="257"/>
      <c r="H173" s="257"/>
      <c r="I173" s="257"/>
      <c r="J173" s="257"/>
      <c r="K173" s="257"/>
      <c r="L173" s="257"/>
      <c r="M173" s="257"/>
      <c r="N173" s="257"/>
    </row>
    <row r="174" spans="1:14">
      <c r="A174" s="257"/>
      <c r="B174" s="257"/>
      <c r="C174" s="257"/>
      <c r="D174" s="257"/>
      <c r="E174" s="257"/>
      <c r="F174" s="257"/>
      <c r="G174" s="257"/>
      <c r="H174" s="257"/>
      <c r="I174" s="257"/>
      <c r="J174" s="257"/>
      <c r="K174" s="257"/>
      <c r="L174" s="257"/>
      <c r="M174" s="257"/>
      <c r="N174" s="257"/>
    </row>
    <row r="175" spans="1:14">
      <c r="A175" s="257"/>
      <c r="B175" s="257"/>
      <c r="C175" s="257"/>
      <c r="D175" s="257"/>
      <c r="E175" s="257"/>
      <c r="F175" s="257"/>
      <c r="G175" s="257"/>
      <c r="H175" s="257"/>
      <c r="I175" s="257"/>
      <c r="J175" s="257"/>
      <c r="K175" s="257"/>
      <c r="L175" s="257"/>
      <c r="M175" s="257"/>
      <c r="N175" s="257"/>
    </row>
    <row r="176" spans="1:14">
      <c r="A176" s="257"/>
      <c r="B176" s="257"/>
      <c r="C176" s="257"/>
      <c r="D176" s="257"/>
      <c r="E176" s="257"/>
      <c r="F176" s="257"/>
      <c r="G176" s="257"/>
      <c r="H176" s="257"/>
      <c r="I176" s="257"/>
      <c r="J176" s="257"/>
      <c r="K176" s="257"/>
      <c r="L176" s="257"/>
      <c r="M176" s="257"/>
      <c r="N176" s="257"/>
    </row>
    <row r="177" spans="1:14">
      <c r="A177" s="257"/>
      <c r="B177" s="257"/>
      <c r="C177" s="257"/>
      <c r="D177" s="257"/>
      <c r="E177" s="257"/>
      <c r="F177" s="257"/>
      <c r="G177" s="257"/>
      <c r="H177" s="257"/>
      <c r="I177" s="257"/>
      <c r="J177" s="257"/>
      <c r="K177" s="257"/>
      <c r="L177" s="257"/>
      <c r="M177" s="257"/>
      <c r="N177" s="257"/>
    </row>
    <row r="178" spans="1:14">
      <c r="A178" s="257"/>
      <c r="B178" s="257"/>
      <c r="C178" s="257"/>
      <c r="D178" s="257"/>
      <c r="E178" s="257"/>
      <c r="F178" s="257"/>
      <c r="G178" s="257"/>
      <c r="H178" s="257"/>
      <c r="I178" s="257"/>
      <c r="J178" s="257"/>
      <c r="K178" s="257"/>
      <c r="L178" s="257"/>
      <c r="M178" s="257"/>
      <c r="N178" s="257"/>
    </row>
    <row r="179" spans="1:14">
      <c r="A179" s="257"/>
      <c r="B179" s="257"/>
      <c r="C179" s="257"/>
      <c r="D179" s="257"/>
      <c r="E179" s="257"/>
      <c r="F179" s="257"/>
      <c r="G179" s="257"/>
      <c r="H179" s="257"/>
      <c r="I179" s="257"/>
      <c r="J179" s="257"/>
      <c r="K179" s="257"/>
      <c r="L179" s="257"/>
      <c r="M179" s="257"/>
      <c r="N179" s="257"/>
    </row>
    <row r="180" spans="1:14">
      <c r="A180" s="257"/>
      <c r="B180" s="257"/>
      <c r="C180" s="257"/>
      <c r="D180" s="257"/>
      <c r="E180" s="257"/>
      <c r="F180" s="257"/>
      <c r="G180" s="257"/>
      <c r="H180" s="257"/>
      <c r="I180" s="257"/>
      <c r="J180" s="257"/>
      <c r="K180" s="257"/>
      <c r="L180" s="257"/>
      <c r="M180" s="257"/>
      <c r="N180" s="257"/>
    </row>
    <row r="181" spans="1:14">
      <c r="A181" s="257"/>
      <c r="B181" s="257"/>
      <c r="C181" s="257"/>
      <c r="D181" s="257"/>
      <c r="E181" s="257"/>
      <c r="F181" s="257"/>
      <c r="G181" s="257"/>
      <c r="H181" s="257"/>
      <c r="I181" s="257"/>
      <c r="J181" s="257"/>
      <c r="K181" s="257"/>
      <c r="L181" s="257"/>
      <c r="M181" s="257"/>
      <c r="N181" s="257"/>
    </row>
    <row r="182" spans="1:14">
      <c r="A182" s="257"/>
      <c r="B182" s="257"/>
      <c r="C182" s="257"/>
      <c r="D182" s="257"/>
      <c r="E182" s="257"/>
      <c r="F182" s="257"/>
      <c r="G182" s="257"/>
      <c r="H182" s="257"/>
      <c r="I182" s="257"/>
      <c r="J182" s="257"/>
      <c r="K182" s="257"/>
      <c r="L182" s="257"/>
      <c r="M182" s="257"/>
      <c r="N182" s="257"/>
    </row>
    <row r="183" spans="1:14">
      <c r="A183" s="257"/>
      <c r="B183" s="257"/>
      <c r="C183" s="257"/>
      <c r="D183" s="257"/>
      <c r="E183" s="257"/>
      <c r="F183" s="257"/>
      <c r="G183" s="257"/>
      <c r="H183" s="257"/>
      <c r="I183" s="257"/>
      <c r="J183" s="257"/>
      <c r="K183" s="257"/>
      <c r="L183" s="257"/>
      <c r="M183" s="257"/>
      <c r="N183" s="257"/>
    </row>
    <row r="184" spans="1:14">
      <c r="A184" s="257"/>
      <c r="B184" s="257"/>
      <c r="C184" s="257"/>
      <c r="D184" s="257"/>
      <c r="E184" s="257"/>
      <c r="F184" s="257"/>
      <c r="G184" s="257"/>
      <c r="H184" s="257"/>
      <c r="I184" s="257"/>
      <c r="J184" s="257"/>
      <c r="K184" s="257"/>
      <c r="L184" s="257"/>
      <c r="M184" s="257"/>
      <c r="N184" s="257"/>
    </row>
    <row r="185" spans="1:14">
      <c r="A185" s="257"/>
      <c r="B185" s="257"/>
      <c r="C185" s="257"/>
      <c r="D185" s="257"/>
      <c r="E185" s="257"/>
      <c r="F185" s="257"/>
      <c r="G185" s="257"/>
      <c r="H185" s="257"/>
      <c r="I185" s="257"/>
      <c r="J185" s="257"/>
      <c r="K185" s="257"/>
      <c r="L185" s="257"/>
      <c r="M185" s="257"/>
      <c r="N185" s="257"/>
    </row>
  </sheetData>
  <mergeCells count="18">
    <mergeCell ref="A98:C98"/>
    <mergeCell ref="A1:B1"/>
    <mergeCell ref="A8:B8"/>
    <mergeCell ref="A22:B22"/>
    <mergeCell ref="A39:B39"/>
    <mergeCell ref="A48:B48"/>
    <mergeCell ref="A58:B58"/>
    <mergeCell ref="A72:C72"/>
    <mergeCell ref="A88:C88"/>
    <mergeCell ref="A114:C114"/>
    <mergeCell ref="A129:C129"/>
    <mergeCell ref="A154:L155"/>
    <mergeCell ref="A164:F169"/>
    <mergeCell ref="H164:I165"/>
    <mergeCell ref="H167:I168"/>
    <mergeCell ref="J164:J165"/>
    <mergeCell ref="J167:J168"/>
    <mergeCell ref="K167:K168"/>
  </mergeCells>
  <phoneticPr fontId="14"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B9BB-13CB-41F6-9E5C-871E62D56A08}">
  <dimension ref="A1:O32"/>
  <sheetViews>
    <sheetView showGridLines="0" showRowColHeaders="0" workbookViewId="0">
      <selection sqref="A1:N2"/>
    </sheetView>
  </sheetViews>
  <sheetFormatPr baseColWidth="10" defaultColWidth="11.453125" defaultRowHeight="14.5"/>
  <cols>
    <col min="1" max="1" width="22.1796875" bestFit="1" customWidth="1"/>
    <col min="2" max="2" width="16.7265625" customWidth="1"/>
    <col min="8" max="8" width="22.1796875" bestFit="1" customWidth="1"/>
    <col min="9" max="9" width="17.26953125" customWidth="1"/>
    <col min="10" max="10" width="22.1796875" bestFit="1" customWidth="1"/>
    <col min="11" max="11" width="12.453125" bestFit="1" customWidth="1"/>
  </cols>
  <sheetData>
    <row r="1" spans="1:15">
      <c r="A1" s="401" t="s">
        <v>2597</v>
      </c>
      <c r="B1" s="402"/>
      <c r="C1" s="402"/>
      <c r="D1" s="402"/>
      <c r="E1" s="402"/>
      <c r="F1" s="402"/>
      <c r="G1" s="402"/>
      <c r="H1" s="402"/>
      <c r="I1" s="402"/>
      <c r="J1" s="402"/>
      <c r="K1" s="402"/>
      <c r="L1" s="402"/>
      <c r="M1" s="402"/>
      <c r="N1" s="403"/>
      <c r="O1" s="79"/>
    </row>
    <row r="2" spans="1:15" ht="15" thickBot="1">
      <c r="A2" s="404"/>
      <c r="B2" s="405"/>
      <c r="C2" s="405"/>
      <c r="D2" s="405"/>
      <c r="E2" s="405"/>
      <c r="F2" s="405"/>
      <c r="G2" s="405"/>
      <c r="H2" s="405"/>
      <c r="I2" s="405"/>
      <c r="J2" s="405"/>
      <c r="K2" s="405"/>
      <c r="L2" s="405"/>
      <c r="M2" s="405"/>
      <c r="N2" s="406"/>
      <c r="O2" s="79"/>
    </row>
    <row r="3" spans="1:15">
      <c r="A3" s="620" t="s">
        <v>2598</v>
      </c>
      <c r="B3" s="621"/>
      <c r="C3" s="621"/>
      <c r="D3" s="621"/>
      <c r="E3" s="621"/>
      <c r="F3" s="621"/>
      <c r="G3" s="622"/>
      <c r="H3" s="620" t="s">
        <v>2599</v>
      </c>
      <c r="I3" s="621"/>
      <c r="J3" s="621"/>
      <c r="K3" s="621"/>
      <c r="L3" s="621"/>
      <c r="M3" s="621"/>
      <c r="N3" s="622"/>
      <c r="O3" s="79"/>
    </row>
    <row r="4" spans="1:15" ht="15" thickBot="1">
      <c r="A4" s="623"/>
      <c r="B4" s="624"/>
      <c r="C4" s="624"/>
      <c r="D4" s="624"/>
      <c r="E4" s="624"/>
      <c r="F4" s="624"/>
      <c r="G4" s="625"/>
      <c r="H4" s="623"/>
      <c r="I4" s="624"/>
      <c r="J4" s="624"/>
      <c r="K4" s="624"/>
      <c r="L4" s="624"/>
      <c r="M4" s="624"/>
      <c r="N4" s="625"/>
      <c r="O4" s="79"/>
    </row>
    <row r="5" spans="1:15" ht="15" thickBot="1">
      <c r="A5" s="86"/>
      <c r="B5" s="87"/>
      <c r="C5" s="87"/>
      <c r="D5" s="87"/>
      <c r="E5" s="87"/>
      <c r="F5" s="87"/>
      <c r="G5" s="88"/>
      <c r="H5" s="86"/>
      <c r="I5" s="87"/>
      <c r="J5" s="87"/>
      <c r="K5" s="87"/>
      <c r="L5" s="87"/>
      <c r="M5" s="87"/>
      <c r="N5" s="88"/>
      <c r="O5" s="79"/>
    </row>
    <row r="6" spans="1:15">
      <c r="A6" s="81" t="s">
        <v>2591</v>
      </c>
      <c r="B6" s="82">
        <f>DATOS!B378</f>
        <v>355481762.57404</v>
      </c>
      <c r="C6" s="79"/>
      <c r="D6" s="79"/>
      <c r="E6" s="79"/>
      <c r="F6" s="79"/>
      <c r="G6" s="89"/>
      <c r="H6" s="81" t="s">
        <v>2600</v>
      </c>
      <c r="I6" s="99">
        <f>B7+B9</f>
        <v>35548176.257404</v>
      </c>
      <c r="J6" s="105"/>
      <c r="K6" s="79"/>
      <c r="L6" s="79"/>
      <c r="M6" s="79"/>
      <c r="N6" s="89"/>
      <c r="O6" s="79"/>
    </row>
    <row r="7" spans="1:15">
      <c r="A7" s="83" t="str">
        <f>DATOS!A380</f>
        <v>Capital propio</v>
      </c>
      <c r="B7" s="84">
        <f>DATOS!B380*B6</f>
        <v>35548176.257404</v>
      </c>
      <c r="C7" s="79"/>
      <c r="D7" s="79"/>
      <c r="E7" s="79"/>
      <c r="F7" s="79"/>
      <c r="G7" s="89"/>
      <c r="H7" s="83" t="s">
        <v>2601</v>
      </c>
      <c r="I7" s="100">
        <f>B10</f>
        <v>177740881.28702</v>
      </c>
      <c r="J7" s="105"/>
      <c r="K7" s="79"/>
      <c r="L7" s="79"/>
      <c r="M7" s="79"/>
      <c r="N7" s="89"/>
      <c r="O7" s="79"/>
    </row>
    <row r="8" spans="1:15">
      <c r="A8" s="83" t="str">
        <f>DATOS!A382</f>
        <v>Financiación</v>
      </c>
      <c r="B8" s="84">
        <f>DATOS!B382*B6</f>
        <v>142192705.029616</v>
      </c>
      <c r="C8" s="79"/>
      <c r="D8" s="79"/>
      <c r="E8" s="79"/>
      <c r="F8" s="79"/>
      <c r="G8" s="89"/>
      <c r="H8" s="83" t="s">
        <v>2602</v>
      </c>
      <c r="I8" s="100">
        <f>B8</f>
        <v>142192705.029616</v>
      </c>
      <c r="J8" s="105"/>
      <c r="K8" s="79"/>
      <c r="L8" s="79"/>
      <c r="M8" s="79"/>
      <c r="N8" s="89"/>
      <c r="O8" s="79"/>
    </row>
    <row r="9" spans="1:15">
      <c r="A9" s="83" t="str">
        <f>DATOS!A384</f>
        <v>Apoyos</v>
      </c>
      <c r="B9" s="84">
        <f>DATOS!B384*B6</f>
        <v>0</v>
      </c>
      <c r="C9" s="79"/>
      <c r="D9" s="79"/>
      <c r="E9" s="79"/>
      <c r="F9" s="79"/>
      <c r="G9" s="89"/>
      <c r="H9" s="101" t="s">
        <v>2290</v>
      </c>
      <c r="I9" s="102">
        <f>SUM(I6:I8)</f>
        <v>355481762.57404</v>
      </c>
      <c r="J9" s="105"/>
      <c r="K9" s="79"/>
      <c r="L9" s="79"/>
      <c r="M9" s="79"/>
      <c r="N9" s="89"/>
      <c r="O9" s="79"/>
    </row>
    <row r="10" spans="1:15" ht="15" thickBot="1">
      <c r="A10" s="103" t="str">
        <f>DATOS!A386</f>
        <v>Capital de terceros</v>
      </c>
      <c r="B10" s="258">
        <f>DATOS!B386*B6</f>
        <v>177740881.28702</v>
      </c>
      <c r="C10" s="79"/>
      <c r="D10" s="79"/>
      <c r="E10" s="79"/>
      <c r="F10" s="79"/>
      <c r="G10" s="89"/>
      <c r="H10" s="103"/>
      <c r="I10" s="104"/>
      <c r="J10" s="79"/>
      <c r="K10" s="79"/>
      <c r="L10" s="79"/>
      <c r="M10" s="79"/>
      <c r="N10" s="89"/>
      <c r="O10" s="79"/>
    </row>
    <row r="11" spans="1:15">
      <c r="A11" s="330" t="str">
        <f>DATOS!A388</f>
        <v>TOTAL</v>
      </c>
      <c r="B11" s="331">
        <f>DATOS!B388*B6</f>
        <v>355481762.57404</v>
      </c>
      <c r="C11" s="79"/>
      <c r="D11" s="79"/>
      <c r="E11" s="79"/>
      <c r="F11" s="79"/>
      <c r="G11" s="89"/>
      <c r="H11" s="90"/>
      <c r="I11" s="79"/>
      <c r="J11" s="79"/>
      <c r="K11" s="79"/>
      <c r="L11" s="79"/>
      <c r="M11" s="79"/>
      <c r="N11" s="89"/>
      <c r="O11" s="79"/>
    </row>
    <row r="12" spans="1:15">
      <c r="A12" s="90"/>
      <c r="B12" s="79"/>
      <c r="C12" s="79"/>
      <c r="D12" s="79"/>
      <c r="E12" s="79"/>
      <c r="F12" s="79"/>
      <c r="G12" s="89"/>
      <c r="H12" s="90"/>
      <c r="I12" s="79"/>
      <c r="J12" s="79"/>
      <c r="K12" s="79"/>
      <c r="L12" s="79"/>
      <c r="M12" s="79"/>
      <c r="N12" s="89"/>
      <c r="O12" s="79"/>
    </row>
    <row r="13" spans="1:15">
      <c r="A13" s="90"/>
      <c r="B13" s="79"/>
      <c r="C13" s="79"/>
      <c r="D13" s="79"/>
      <c r="E13" s="79"/>
      <c r="F13" s="79"/>
      <c r="G13" s="89"/>
      <c r="H13" s="90"/>
      <c r="I13" s="79"/>
      <c r="J13" s="79"/>
      <c r="K13" s="79"/>
      <c r="L13" s="79"/>
      <c r="M13" s="79"/>
      <c r="N13" s="89"/>
      <c r="O13" s="79"/>
    </row>
    <row r="14" spans="1:15">
      <c r="A14" s="90"/>
      <c r="B14" s="79"/>
      <c r="C14" s="79"/>
      <c r="D14" s="79"/>
      <c r="E14" s="79"/>
      <c r="F14" s="79"/>
      <c r="G14" s="89"/>
      <c r="H14" s="90"/>
      <c r="I14" s="79"/>
      <c r="J14" s="79"/>
      <c r="K14" s="79"/>
      <c r="L14" s="79"/>
      <c r="M14" s="79"/>
      <c r="N14" s="89"/>
      <c r="O14" s="79"/>
    </row>
    <row r="15" spans="1:15">
      <c r="A15" s="90"/>
      <c r="B15" s="79"/>
      <c r="C15" s="79"/>
      <c r="D15" s="79"/>
      <c r="E15" s="79"/>
      <c r="F15" s="79"/>
      <c r="G15" s="89"/>
      <c r="H15" s="90"/>
      <c r="I15" s="79"/>
      <c r="J15" s="79"/>
      <c r="K15" s="79"/>
      <c r="L15" s="79"/>
      <c r="M15" s="79"/>
      <c r="N15" s="89"/>
      <c r="O15" s="79"/>
    </row>
    <row r="16" spans="1:15">
      <c r="A16" s="90"/>
      <c r="B16" s="79"/>
      <c r="C16" s="79"/>
      <c r="D16" s="79"/>
      <c r="E16" s="79"/>
      <c r="F16" s="79"/>
      <c r="G16" s="89"/>
      <c r="H16" s="90"/>
      <c r="I16" s="79"/>
      <c r="J16" s="79"/>
      <c r="K16" s="79"/>
      <c r="L16" s="79"/>
      <c r="M16" s="79"/>
      <c r="N16" s="89"/>
      <c r="O16" s="79"/>
    </row>
    <row r="17" spans="1:15">
      <c r="A17" s="90"/>
      <c r="B17" s="79"/>
      <c r="C17" s="79"/>
      <c r="D17" s="79"/>
      <c r="E17" s="79"/>
      <c r="F17" s="79"/>
      <c r="G17" s="89"/>
      <c r="H17" s="90"/>
      <c r="I17" s="79"/>
      <c r="J17" s="79"/>
      <c r="K17" s="79"/>
      <c r="L17" s="79"/>
      <c r="M17" s="79"/>
      <c r="N17" s="89"/>
      <c r="O17" s="79"/>
    </row>
    <row r="18" spans="1:15">
      <c r="A18" s="90"/>
      <c r="B18" s="79"/>
      <c r="C18" s="79"/>
      <c r="D18" s="79"/>
      <c r="E18" s="79"/>
      <c r="F18" s="79"/>
      <c r="G18" s="89"/>
      <c r="H18" s="90"/>
      <c r="I18" s="79"/>
      <c r="J18" s="79"/>
      <c r="K18" s="79"/>
      <c r="L18" s="79"/>
      <c r="M18" s="79"/>
      <c r="N18" s="89"/>
      <c r="O18" s="79"/>
    </row>
    <row r="19" spans="1:15" ht="15" thickBot="1">
      <c r="A19" s="90"/>
      <c r="B19" s="79"/>
      <c r="C19" s="79"/>
      <c r="D19" s="79"/>
      <c r="E19" s="79"/>
      <c r="F19" s="79"/>
      <c r="G19" s="89"/>
      <c r="H19" s="90"/>
      <c r="I19" s="79"/>
      <c r="J19" s="79"/>
      <c r="K19" s="79"/>
      <c r="L19" s="79"/>
      <c r="M19" s="79"/>
      <c r="N19" s="89"/>
      <c r="O19" s="79"/>
    </row>
    <row r="20" spans="1:15" ht="15" thickBot="1">
      <c r="A20" s="94">
        <f>DATOS!B380</f>
        <v>0.1</v>
      </c>
      <c r="B20" s="630" t="s">
        <v>2603</v>
      </c>
      <c r="C20" s="631"/>
      <c r="D20" s="628">
        <f>DATOS!B382</f>
        <v>0.4</v>
      </c>
      <c r="E20" s="629"/>
      <c r="F20" s="630" t="s">
        <v>2602</v>
      </c>
      <c r="G20" s="631"/>
      <c r="H20" s="107">
        <f>I6/I9</f>
        <v>0.1</v>
      </c>
      <c r="I20" s="106" t="s">
        <v>2604</v>
      </c>
      <c r="J20" s="108">
        <f>I7/I9</f>
        <v>0.5</v>
      </c>
      <c r="K20" s="106" t="s">
        <v>2605</v>
      </c>
      <c r="L20" s="618">
        <f>I8/I9</f>
        <v>0.4</v>
      </c>
      <c r="M20" s="619"/>
      <c r="N20" s="106" t="s">
        <v>2606</v>
      </c>
      <c r="O20" s="79"/>
    </row>
    <row r="21" spans="1:15" ht="15" thickBot="1">
      <c r="A21" s="95">
        <f>DATOS!B384</f>
        <v>0</v>
      </c>
      <c r="B21" s="630" t="s">
        <v>2607</v>
      </c>
      <c r="C21" s="631"/>
      <c r="D21" s="626">
        <f>DATOS!B386</f>
        <v>0.5</v>
      </c>
      <c r="E21" s="627"/>
      <c r="F21" s="630" t="s">
        <v>2605</v>
      </c>
      <c r="G21" s="631"/>
      <c r="H21" s="91"/>
      <c r="I21" s="92"/>
      <c r="J21" s="92"/>
      <c r="K21" s="92"/>
      <c r="L21" s="92"/>
      <c r="M21" s="92"/>
      <c r="N21" s="93"/>
      <c r="O21" s="79"/>
    </row>
    <row r="22" spans="1:15">
      <c r="A22" s="594" t="s">
        <v>2608</v>
      </c>
      <c r="B22" s="595"/>
      <c r="C22" s="595"/>
      <c r="D22" s="595"/>
      <c r="E22" s="595"/>
      <c r="F22" s="595"/>
      <c r="G22" s="596"/>
      <c r="H22" s="609" t="s">
        <v>2609</v>
      </c>
      <c r="I22" s="610"/>
      <c r="J22" s="610"/>
      <c r="K22" s="610"/>
      <c r="L22" s="610"/>
      <c r="M22" s="610"/>
      <c r="N22" s="611"/>
      <c r="O22" s="79"/>
    </row>
    <row r="23" spans="1:15">
      <c r="A23" s="594"/>
      <c r="B23" s="595"/>
      <c r="C23" s="595"/>
      <c r="D23" s="595"/>
      <c r="E23" s="595"/>
      <c r="F23" s="595"/>
      <c r="G23" s="596"/>
      <c r="H23" s="612"/>
      <c r="I23" s="613"/>
      <c r="J23" s="613"/>
      <c r="K23" s="613"/>
      <c r="L23" s="613"/>
      <c r="M23" s="613"/>
      <c r="N23" s="614"/>
      <c r="O23" s="79"/>
    </row>
    <row r="24" spans="1:15">
      <c r="A24" s="594"/>
      <c r="B24" s="595"/>
      <c r="C24" s="595"/>
      <c r="D24" s="595"/>
      <c r="E24" s="595"/>
      <c r="F24" s="595"/>
      <c r="G24" s="596"/>
      <c r="H24" s="612"/>
      <c r="I24" s="613"/>
      <c r="J24" s="613"/>
      <c r="K24" s="613"/>
      <c r="L24" s="613"/>
      <c r="M24" s="613"/>
      <c r="N24" s="614"/>
      <c r="O24" s="79"/>
    </row>
    <row r="25" spans="1:15">
      <c r="A25" s="594"/>
      <c r="B25" s="595"/>
      <c r="C25" s="595"/>
      <c r="D25" s="595"/>
      <c r="E25" s="595"/>
      <c r="F25" s="595"/>
      <c r="G25" s="596"/>
      <c r="H25" s="612"/>
      <c r="I25" s="613"/>
      <c r="J25" s="613"/>
      <c r="K25" s="613"/>
      <c r="L25" s="613"/>
      <c r="M25" s="613"/>
      <c r="N25" s="614"/>
      <c r="O25" s="79"/>
    </row>
    <row r="26" spans="1:15">
      <c r="A26" s="594"/>
      <c r="B26" s="595"/>
      <c r="C26" s="595"/>
      <c r="D26" s="595"/>
      <c r="E26" s="595"/>
      <c r="F26" s="595"/>
      <c r="G26" s="596"/>
      <c r="H26" s="612"/>
      <c r="I26" s="613"/>
      <c r="J26" s="613"/>
      <c r="K26" s="613"/>
      <c r="L26" s="613"/>
      <c r="M26" s="613"/>
      <c r="N26" s="614"/>
      <c r="O26" s="79"/>
    </row>
    <row r="27" spans="1:15">
      <c r="A27" s="594"/>
      <c r="B27" s="595"/>
      <c r="C27" s="595"/>
      <c r="D27" s="595"/>
      <c r="E27" s="595"/>
      <c r="F27" s="595"/>
      <c r="G27" s="596"/>
      <c r="H27" s="612"/>
      <c r="I27" s="613"/>
      <c r="J27" s="613"/>
      <c r="K27" s="613"/>
      <c r="L27" s="613"/>
      <c r="M27" s="613"/>
      <c r="N27" s="614"/>
      <c r="O27" s="79"/>
    </row>
    <row r="28" spans="1:15" ht="15" thickBot="1">
      <c r="A28" s="597"/>
      <c r="B28" s="598"/>
      <c r="C28" s="598"/>
      <c r="D28" s="598"/>
      <c r="E28" s="598"/>
      <c r="F28" s="598"/>
      <c r="G28" s="599"/>
      <c r="H28" s="615"/>
      <c r="I28" s="616"/>
      <c r="J28" s="616"/>
      <c r="K28" s="616"/>
      <c r="L28" s="616"/>
      <c r="M28" s="616"/>
      <c r="N28" s="617"/>
      <c r="O28" s="79"/>
    </row>
    <row r="29" spans="1:15">
      <c r="A29" s="79"/>
      <c r="B29" s="79"/>
      <c r="C29" s="79"/>
      <c r="D29" s="79"/>
      <c r="E29" s="79"/>
      <c r="F29" s="79"/>
      <c r="G29" s="79"/>
      <c r="H29" s="79"/>
      <c r="I29" s="79"/>
      <c r="J29" s="79"/>
      <c r="K29" s="79"/>
      <c r="L29" s="79"/>
      <c r="M29" s="79"/>
      <c r="N29" s="79"/>
      <c r="O29" s="79"/>
    </row>
    <row r="30" spans="1:15">
      <c r="A30" s="79"/>
      <c r="B30" s="79"/>
      <c r="C30" s="79"/>
      <c r="D30" s="79"/>
      <c r="E30" s="79"/>
      <c r="F30" s="79"/>
      <c r="G30" s="79"/>
      <c r="H30" s="79"/>
      <c r="I30" s="79"/>
      <c r="J30" s="79"/>
      <c r="K30" s="79"/>
      <c r="L30" s="79"/>
      <c r="M30" s="79"/>
      <c r="N30" s="79"/>
      <c r="O30" s="79"/>
    </row>
    <row r="31" spans="1:15">
      <c r="A31" s="79"/>
      <c r="B31" s="79"/>
      <c r="C31" s="79"/>
      <c r="D31" s="79"/>
      <c r="E31" s="79"/>
      <c r="F31" s="79"/>
      <c r="G31" s="79"/>
      <c r="H31" s="79"/>
      <c r="I31" s="79"/>
      <c r="J31" s="79"/>
      <c r="K31" s="79"/>
      <c r="L31" s="79"/>
      <c r="M31" s="79"/>
      <c r="N31" s="79"/>
      <c r="O31" s="79"/>
    </row>
    <row r="32" spans="1:15">
      <c r="A32" s="79"/>
      <c r="B32" s="79"/>
      <c r="C32" s="79"/>
      <c r="D32" s="79"/>
      <c r="E32" s="79"/>
      <c r="F32" s="79"/>
      <c r="G32" s="79"/>
      <c r="H32" s="79"/>
      <c r="I32" s="79"/>
      <c r="J32" s="79"/>
      <c r="K32" s="79"/>
      <c r="L32" s="79"/>
      <c r="M32" s="79"/>
      <c r="N32" s="79"/>
      <c r="O32" s="79"/>
    </row>
  </sheetData>
  <mergeCells count="12">
    <mergeCell ref="H22:N28"/>
    <mergeCell ref="L20:M20"/>
    <mergeCell ref="A1:N2"/>
    <mergeCell ref="A3:G4"/>
    <mergeCell ref="H3:N4"/>
    <mergeCell ref="A22:G28"/>
    <mergeCell ref="D21:E21"/>
    <mergeCell ref="D20:E20"/>
    <mergeCell ref="B20:C20"/>
    <mergeCell ref="B21:C21"/>
    <mergeCell ref="F20:G20"/>
    <mergeCell ref="F21:G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6D5A-ACFA-401E-BF72-32E843D1B4CE}">
  <dimension ref="A1:S36"/>
  <sheetViews>
    <sheetView showGridLines="0" showRowColHeaders="0" workbookViewId="0">
      <selection sqref="A1:Q2"/>
    </sheetView>
  </sheetViews>
  <sheetFormatPr baseColWidth="10" defaultColWidth="11.453125" defaultRowHeight="14.5"/>
  <sheetData>
    <row r="1" spans="1:19">
      <c r="A1" s="401" t="s">
        <v>2610</v>
      </c>
      <c r="B1" s="402"/>
      <c r="C1" s="402"/>
      <c r="D1" s="402"/>
      <c r="E1" s="402"/>
      <c r="F1" s="402"/>
      <c r="G1" s="402"/>
      <c r="H1" s="402"/>
      <c r="I1" s="402"/>
      <c r="J1" s="402"/>
      <c r="K1" s="402"/>
      <c r="L1" s="402"/>
      <c r="M1" s="402"/>
      <c r="N1" s="402"/>
      <c r="O1" s="402"/>
      <c r="P1" s="402"/>
      <c r="Q1" s="403"/>
      <c r="R1" s="79"/>
      <c r="S1" s="79"/>
    </row>
    <row r="2" spans="1:19" ht="15" thickBot="1">
      <c r="A2" s="404"/>
      <c r="B2" s="405"/>
      <c r="C2" s="405"/>
      <c r="D2" s="405"/>
      <c r="E2" s="405"/>
      <c r="F2" s="405"/>
      <c r="G2" s="405"/>
      <c r="H2" s="405"/>
      <c r="I2" s="405"/>
      <c r="J2" s="405"/>
      <c r="K2" s="405"/>
      <c r="L2" s="405"/>
      <c r="M2" s="405"/>
      <c r="N2" s="405"/>
      <c r="O2" s="405"/>
      <c r="P2" s="405"/>
      <c r="Q2" s="406"/>
      <c r="R2" s="79"/>
      <c r="S2" s="79"/>
    </row>
    <row r="3" spans="1:19" ht="15" thickBot="1">
      <c r="A3" s="79"/>
      <c r="B3" s="79"/>
      <c r="C3" s="79"/>
      <c r="D3" s="79"/>
      <c r="E3" s="79"/>
      <c r="F3" s="79"/>
      <c r="G3" s="79"/>
      <c r="H3" s="79"/>
      <c r="I3" s="79"/>
      <c r="J3" s="79"/>
      <c r="K3" s="79"/>
      <c r="L3" s="79"/>
      <c r="M3" s="79"/>
      <c r="N3" s="79"/>
      <c r="O3" s="79"/>
      <c r="P3" s="79"/>
      <c r="Q3" s="79"/>
      <c r="R3" s="79"/>
      <c r="S3" s="79"/>
    </row>
    <row r="4" spans="1:19">
      <c r="A4" s="656"/>
      <c r="B4" s="657"/>
      <c r="C4" s="658"/>
      <c r="D4" s="79"/>
      <c r="E4" s="650" t="s">
        <v>2529</v>
      </c>
      <c r="F4" s="651"/>
      <c r="G4" s="651"/>
      <c r="H4" s="652"/>
      <c r="I4" s="79"/>
      <c r="J4" s="650" t="s">
        <v>2611</v>
      </c>
      <c r="K4" s="651"/>
      <c r="L4" s="651"/>
      <c r="M4" s="652"/>
      <c r="N4" s="650" t="str">
        <f>IF($E$7="COMERCIAL","SI","NO")</f>
        <v>NO</v>
      </c>
      <c r="O4" s="651"/>
      <c r="P4" s="651"/>
      <c r="Q4" s="652"/>
      <c r="R4" s="79"/>
      <c r="S4" s="79"/>
    </row>
    <row r="5" spans="1:19" ht="15" thickBot="1">
      <c r="A5" s="659"/>
      <c r="B5" s="660"/>
      <c r="C5" s="661"/>
      <c r="D5" s="79"/>
      <c r="E5" s="653"/>
      <c r="F5" s="654"/>
      <c r="G5" s="654"/>
      <c r="H5" s="655"/>
      <c r="I5" s="79"/>
      <c r="J5" s="653"/>
      <c r="K5" s="654"/>
      <c r="L5" s="654"/>
      <c r="M5" s="655"/>
      <c r="N5" s="653"/>
      <c r="O5" s="654"/>
      <c r="P5" s="654"/>
      <c r="Q5" s="655"/>
      <c r="R5" s="79"/>
      <c r="S5" s="79"/>
    </row>
    <row r="6" spans="1:19" ht="15" thickBot="1">
      <c r="A6" s="659"/>
      <c r="B6" s="660"/>
      <c r="C6" s="661"/>
      <c r="D6" s="79"/>
      <c r="E6" s="79"/>
      <c r="F6" s="79"/>
      <c r="G6" s="79"/>
      <c r="H6" s="79"/>
      <c r="I6" s="79"/>
      <c r="J6" s="79"/>
      <c r="K6" s="79"/>
      <c r="L6" s="79"/>
      <c r="M6" s="79"/>
      <c r="N6" s="79"/>
      <c r="O6" s="79"/>
      <c r="P6" s="79"/>
      <c r="Q6" s="79"/>
      <c r="R6" s="79"/>
      <c r="S6" s="79"/>
    </row>
    <row r="7" spans="1:19">
      <c r="A7" s="659"/>
      <c r="B7" s="660"/>
      <c r="C7" s="661"/>
      <c r="D7" s="79"/>
      <c r="E7" s="650" t="str">
        <f>DATOS!B71</f>
        <v>CIVIL</v>
      </c>
      <c r="F7" s="651"/>
      <c r="G7" s="651"/>
      <c r="H7" s="652"/>
      <c r="I7" s="79"/>
      <c r="J7" s="650" t="s">
        <v>2612</v>
      </c>
      <c r="K7" s="651"/>
      <c r="L7" s="651"/>
      <c r="M7" s="652"/>
      <c r="N7" s="650" t="str">
        <f>IF($E$7="COMERCIAL","SI","NO")</f>
        <v>NO</v>
      </c>
      <c r="O7" s="651"/>
      <c r="P7" s="651"/>
      <c r="Q7" s="652"/>
      <c r="R7" s="79"/>
      <c r="S7" s="79"/>
    </row>
    <row r="8" spans="1:19" ht="15" thickBot="1">
      <c r="A8" s="659"/>
      <c r="B8" s="660"/>
      <c r="C8" s="661"/>
      <c r="D8" s="79"/>
      <c r="E8" s="653"/>
      <c r="F8" s="654"/>
      <c r="G8" s="654"/>
      <c r="H8" s="655"/>
      <c r="I8" s="79"/>
      <c r="J8" s="653"/>
      <c r="K8" s="654"/>
      <c r="L8" s="654"/>
      <c r="M8" s="655"/>
      <c r="N8" s="653"/>
      <c r="O8" s="654"/>
      <c r="P8" s="654"/>
      <c r="Q8" s="655"/>
      <c r="R8" s="79"/>
      <c r="S8" s="79"/>
    </row>
    <row r="9" spans="1:19" ht="15" thickBot="1">
      <c r="A9" s="659"/>
      <c r="B9" s="660"/>
      <c r="C9" s="661"/>
      <c r="D9" s="79"/>
      <c r="E9" s="79"/>
      <c r="F9" s="79"/>
      <c r="G9" s="79"/>
      <c r="H9" s="79"/>
      <c r="I9" s="79"/>
      <c r="J9" s="79"/>
      <c r="K9" s="79"/>
      <c r="L9" s="79"/>
      <c r="M9" s="79"/>
      <c r="N9" s="79"/>
      <c r="O9" s="79"/>
      <c r="P9" s="79"/>
      <c r="Q9" s="79"/>
      <c r="R9" s="79"/>
      <c r="S9" s="79"/>
    </row>
    <row r="10" spans="1:19">
      <c r="A10" s="659"/>
      <c r="B10" s="660"/>
      <c r="C10" s="661"/>
      <c r="D10" s="79"/>
      <c r="E10" s="641" t="str">
        <f>IF(E7="COMERCIAL",A35,A36)</f>
        <v>Conocidas como ESAL: Asociaciones o Corporaciones, Fundaciones, Cooperativas (Entidades de Economía Solidaria).</v>
      </c>
      <c r="F10" s="642"/>
      <c r="G10" s="642"/>
      <c r="H10" s="643"/>
      <c r="I10" s="79"/>
      <c r="J10" s="650" t="s">
        <v>2613</v>
      </c>
      <c r="K10" s="651"/>
      <c r="L10" s="651"/>
      <c r="M10" s="652"/>
      <c r="N10" s="650" t="str">
        <f>IF($E$7="COMERCIAL","NO","SI")</f>
        <v>SI</v>
      </c>
      <c r="O10" s="651"/>
      <c r="P10" s="651"/>
      <c r="Q10" s="652"/>
      <c r="R10" s="79"/>
      <c r="S10" s="79"/>
    </row>
    <row r="11" spans="1:19" ht="15" thickBot="1">
      <c r="A11" s="659"/>
      <c r="B11" s="660"/>
      <c r="C11" s="661"/>
      <c r="D11" s="79"/>
      <c r="E11" s="644"/>
      <c r="F11" s="645"/>
      <c r="G11" s="645"/>
      <c r="H11" s="646"/>
      <c r="I11" s="79"/>
      <c r="J11" s="653"/>
      <c r="K11" s="654"/>
      <c r="L11" s="654"/>
      <c r="M11" s="655"/>
      <c r="N11" s="653"/>
      <c r="O11" s="654"/>
      <c r="P11" s="654"/>
      <c r="Q11" s="655"/>
      <c r="R11" s="79"/>
      <c r="S11" s="79"/>
    </row>
    <row r="12" spans="1:19" ht="15" thickBot="1">
      <c r="A12" s="659"/>
      <c r="B12" s="660"/>
      <c r="C12" s="661"/>
      <c r="D12" s="79"/>
      <c r="E12" s="644"/>
      <c r="F12" s="645"/>
      <c r="G12" s="645"/>
      <c r="H12" s="646"/>
      <c r="I12" s="79"/>
      <c r="J12" s="79"/>
      <c r="K12" s="79"/>
      <c r="L12" s="79"/>
      <c r="M12" s="79"/>
      <c r="N12" s="79"/>
      <c r="O12" s="79"/>
      <c r="P12" s="79"/>
      <c r="Q12" s="79"/>
      <c r="R12" s="79"/>
      <c r="S12" s="79"/>
    </row>
    <row r="13" spans="1:19" ht="15" thickBot="1">
      <c r="A13" s="662"/>
      <c r="B13" s="663"/>
      <c r="C13" s="664"/>
      <c r="D13" s="79"/>
      <c r="E13" s="644"/>
      <c r="F13" s="645"/>
      <c r="G13" s="645"/>
      <c r="H13" s="646"/>
      <c r="I13" s="79"/>
      <c r="J13" s="650" t="s">
        <v>2614</v>
      </c>
      <c r="K13" s="651"/>
      <c r="L13" s="651"/>
      <c r="M13" s="652"/>
      <c r="N13" s="650" t="str">
        <f>IF($E$7="COMERCIAL","SI","NO")</f>
        <v>NO</v>
      </c>
      <c r="O13" s="651"/>
      <c r="P13" s="651"/>
      <c r="Q13" s="652"/>
      <c r="R13" s="79"/>
      <c r="S13" s="79"/>
    </row>
    <row r="14" spans="1:19" ht="15" thickBot="1">
      <c r="A14" s="79"/>
      <c r="B14" s="79"/>
      <c r="C14" s="79"/>
      <c r="D14" s="79"/>
      <c r="E14" s="644"/>
      <c r="F14" s="645"/>
      <c r="G14" s="645"/>
      <c r="H14" s="646"/>
      <c r="I14" s="79"/>
      <c r="J14" s="653"/>
      <c r="K14" s="654"/>
      <c r="L14" s="654"/>
      <c r="M14" s="655"/>
      <c r="N14" s="653"/>
      <c r="O14" s="654"/>
      <c r="P14" s="654"/>
      <c r="Q14" s="655"/>
      <c r="R14" s="79"/>
      <c r="S14" s="79"/>
    </row>
    <row r="15" spans="1:19" ht="15" thickBot="1">
      <c r="A15" s="79"/>
      <c r="B15" s="79"/>
      <c r="C15" s="79"/>
      <c r="D15" s="79"/>
      <c r="E15" s="644"/>
      <c r="F15" s="645"/>
      <c r="G15" s="645"/>
      <c r="H15" s="646"/>
      <c r="I15" s="79"/>
      <c r="J15" s="79"/>
      <c r="K15" s="79"/>
      <c r="L15" s="79"/>
      <c r="M15" s="79"/>
      <c r="N15" s="79"/>
      <c r="O15" s="79"/>
      <c r="P15" s="79"/>
      <c r="Q15" s="79"/>
      <c r="R15" s="79"/>
      <c r="S15" s="79"/>
    </row>
    <row r="16" spans="1:19">
      <c r="A16" s="79"/>
      <c r="B16" s="79"/>
      <c r="C16" s="79"/>
      <c r="D16" s="79"/>
      <c r="E16" s="644"/>
      <c r="F16" s="645"/>
      <c r="G16" s="645"/>
      <c r="H16" s="646"/>
      <c r="I16" s="79"/>
      <c r="J16" s="650" t="s">
        <v>2615</v>
      </c>
      <c r="K16" s="651"/>
      <c r="L16" s="651"/>
      <c r="M16" s="652"/>
      <c r="N16" s="650" t="str">
        <f>IF($E$7="COMERCIAL","NO","SI")</f>
        <v>SI</v>
      </c>
      <c r="O16" s="651"/>
      <c r="P16" s="651"/>
      <c r="Q16" s="652"/>
      <c r="R16" s="79"/>
      <c r="S16" s="79"/>
    </row>
    <row r="17" spans="1:19" ht="15" thickBot="1">
      <c r="A17" s="79"/>
      <c r="B17" s="79"/>
      <c r="C17" s="79"/>
      <c r="D17" s="79"/>
      <c r="E17" s="644"/>
      <c r="F17" s="645"/>
      <c r="G17" s="645"/>
      <c r="H17" s="646"/>
      <c r="I17" s="79"/>
      <c r="J17" s="653"/>
      <c r="K17" s="654"/>
      <c r="L17" s="654"/>
      <c r="M17" s="655"/>
      <c r="N17" s="653"/>
      <c r="O17" s="654"/>
      <c r="P17" s="654"/>
      <c r="Q17" s="655"/>
      <c r="R17" s="79"/>
      <c r="S17" s="79"/>
    </row>
    <row r="18" spans="1:19" ht="15" thickBot="1">
      <c r="A18" s="79"/>
      <c r="B18" s="79"/>
      <c r="C18" s="79"/>
      <c r="D18" s="79"/>
      <c r="E18" s="647"/>
      <c r="F18" s="648"/>
      <c r="G18" s="648"/>
      <c r="H18" s="649"/>
      <c r="I18" s="79"/>
      <c r="J18" s="79"/>
      <c r="K18" s="79"/>
      <c r="L18" s="79"/>
      <c r="M18" s="79"/>
      <c r="N18" s="79"/>
      <c r="O18" s="79"/>
      <c r="P18" s="79"/>
      <c r="Q18" s="79"/>
      <c r="R18" s="79"/>
      <c r="S18" s="79"/>
    </row>
    <row r="19" spans="1:19" ht="15" thickBot="1">
      <c r="A19" s="79"/>
      <c r="B19" s="79"/>
      <c r="C19" s="79"/>
      <c r="D19" s="79"/>
      <c r="E19" s="79"/>
      <c r="F19" s="79"/>
      <c r="G19" s="79"/>
      <c r="H19" s="79"/>
      <c r="I19" s="79"/>
      <c r="J19" s="79"/>
      <c r="K19" s="79"/>
      <c r="L19" s="79"/>
      <c r="M19" s="79"/>
      <c r="N19" s="79"/>
      <c r="O19" s="79"/>
      <c r="P19" s="79"/>
      <c r="Q19" s="79"/>
      <c r="R19" s="79"/>
      <c r="S19" s="79"/>
    </row>
    <row r="20" spans="1:19">
      <c r="A20" s="79"/>
      <c r="B20" s="632" t="s">
        <v>2616</v>
      </c>
      <c r="C20" s="633"/>
      <c r="D20" s="633"/>
      <c r="E20" s="633"/>
      <c r="F20" s="633"/>
      <c r="G20" s="633"/>
      <c r="H20" s="633"/>
      <c r="I20" s="633"/>
      <c r="J20" s="633"/>
      <c r="K20" s="633"/>
      <c r="L20" s="633"/>
      <c r="M20" s="633"/>
      <c r="N20" s="633"/>
      <c r="O20" s="633"/>
      <c r="P20" s="634"/>
      <c r="Q20" s="79"/>
      <c r="R20" s="79"/>
      <c r="S20" s="79"/>
    </row>
    <row r="21" spans="1:19">
      <c r="A21" s="79"/>
      <c r="B21" s="635"/>
      <c r="C21" s="636"/>
      <c r="D21" s="636"/>
      <c r="E21" s="636"/>
      <c r="F21" s="636"/>
      <c r="G21" s="636"/>
      <c r="H21" s="636"/>
      <c r="I21" s="636"/>
      <c r="J21" s="636"/>
      <c r="K21" s="636"/>
      <c r="L21" s="636"/>
      <c r="M21" s="636"/>
      <c r="N21" s="636"/>
      <c r="O21" s="636"/>
      <c r="P21" s="637"/>
      <c r="Q21" s="79"/>
      <c r="R21" s="79"/>
      <c r="S21" s="79"/>
    </row>
    <row r="22" spans="1:19">
      <c r="A22" s="79"/>
      <c r="B22" s="635"/>
      <c r="C22" s="636"/>
      <c r="D22" s="636"/>
      <c r="E22" s="636"/>
      <c r="F22" s="636"/>
      <c r="G22" s="636"/>
      <c r="H22" s="636"/>
      <c r="I22" s="636"/>
      <c r="J22" s="636"/>
      <c r="K22" s="636"/>
      <c r="L22" s="636"/>
      <c r="M22" s="636"/>
      <c r="N22" s="636"/>
      <c r="O22" s="636"/>
      <c r="P22" s="637"/>
      <c r="Q22" s="79"/>
      <c r="R22" s="79"/>
      <c r="S22" s="79"/>
    </row>
    <row r="23" spans="1:19">
      <c r="A23" s="79"/>
      <c r="B23" s="635"/>
      <c r="C23" s="636"/>
      <c r="D23" s="636"/>
      <c r="E23" s="636"/>
      <c r="F23" s="636"/>
      <c r="G23" s="636"/>
      <c r="H23" s="636"/>
      <c r="I23" s="636"/>
      <c r="J23" s="636"/>
      <c r="K23" s="636"/>
      <c r="L23" s="636"/>
      <c r="M23" s="636"/>
      <c r="N23" s="636"/>
      <c r="O23" s="636"/>
      <c r="P23" s="637"/>
      <c r="Q23" s="79"/>
      <c r="R23" s="79"/>
      <c r="S23" s="79"/>
    </row>
    <row r="24" spans="1:19">
      <c r="A24" s="79"/>
      <c r="B24" s="635"/>
      <c r="C24" s="636"/>
      <c r="D24" s="636"/>
      <c r="E24" s="636"/>
      <c r="F24" s="636"/>
      <c r="G24" s="636"/>
      <c r="H24" s="636"/>
      <c r="I24" s="636"/>
      <c r="J24" s="636"/>
      <c r="K24" s="636"/>
      <c r="L24" s="636"/>
      <c r="M24" s="636"/>
      <c r="N24" s="636"/>
      <c r="O24" s="636"/>
      <c r="P24" s="637"/>
      <c r="Q24" s="79"/>
      <c r="R24" s="79"/>
      <c r="S24" s="79"/>
    </row>
    <row r="25" spans="1:19">
      <c r="A25" s="79"/>
      <c r="B25" s="635"/>
      <c r="C25" s="636"/>
      <c r="D25" s="636"/>
      <c r="E25" s="636"/>
      <c r="F25" s="636"/>
      <c r="G25" s="636"/>
      <c r="H25" s="636"/>
      <c r="I25" s="636"/>
      <c r="J25" s="636"/>
      <c r="K25" s="636"/>
      <c r="L25" s="636"/>
      <c r="M25" s="636"/>
      <c r="N25" s="636"/>
      <c r="O25" s="636"/>
      <c r="P25" s="637"/>
      <c r="Q25" s="79"/>
      <c r="R25" s="79"/>
      <c r="S25" s="79"/>
    </row>
    <row r="26" spans="1:19" ht="15" thickBot="1">
      <c r="A26" s="79"/>
      <c r="B26" s="638"/>
      <c r="C26" s="639"/>
      <c r="D26" s="639"/>
      <c r="E26" s="639"/>
      <c r="F26" s="639"/>
      <c r="G26" s="639"/>
      <c r="H26" s="639"/>
      <c r="I26" s="639"/>
      <c r="J26" s="639"/>
      <c r="K26" s="639"/>
      <c r="L26" s="639"/>
      <c r="M26" s="639"/>
      <c r="N26" s="639"/>
      <c r="O26" s="639"/>
      <c r="P26" s="640"/>
      <c r="Q26" s="79"/>
      <c r="R26" s="79"/>
      <c r="S26" s="79"/>
    </row>
    <row r="27" spans="1:19">
      <c r="A27" s="79"/>
      <c r="B27" s="79"/>
      <c r="C27" s="79"/>
      <c r="D27" s="79"/>
      <c r="E27" s="79"/>
      <c r="F27" s="79"/>
      <c r="G27" s="79"/>
      <c r="H27" s="79"/>
      <c r="I27" s="79"/>
      <c r="J27" s="79"/>
      <c r="K27" s="79"/>
      <c r="L27" s="79"/>
      <c r="M27" s="79"/>
      <c r="N27" s="79"/>
      <c r="O27" s="79"/>
      <c r="P27" s="79"/>
      <c r="Q27" s="79"/>
      <c r="R27" s="79"/>
      <c r="S27" s="79"/>
    </row>
    <row r="28" spans="1:19">
      <c r="A28" s="79"/>
      <c r="B28" s="79"/>
      <c r="C28" s="79"/>
      <c r="D28" s="79"/>
      <c r="E28" s="79"/>
      <c r="F28" s="79"/>
      <c r="G28" s="79"/>
      <c r="H28" s="79"/>
      <c r="I28" s="79"/>
      <c r="J28" s="79"/>
      <c r="K28" s="79"/>
      <c r="L28" s="79"/>
      <c r="M28" s="79"/>
      <c r="N28" s="79"/>
      <c r="O28" s="79"/>
      <c r="P28" s="79"/>
      <c r="Q28" s="79"/>
      <c r="R28" s="79"/>
      <c r="S28" s="79"/>
    </row>
    <row r="29" spans="1:19">
      <c r="A29" s="79"/>
      <c r="B29" s="79"/>
      <c r="C29" s="79"/>
      <c r="D29" s="79"/>
      <c r="E29" s="79"/>
      <c r="F29" s="79"/>
      <c r="G29" s="79"/>
      <c r="H29" s="79"/>
      <c r="I29" s="79"/>
      <c r="J29" s="79"/>
      <c r="K29" s="79"/>
      <c r="L29" s="79"/>
      <c r="M29" s="79"/>
      <c r="N29" s="79"/>
      <c r="O29" s="79"/>
      <c r="P29" s="79"/>
      <c r="Q29" s="79"/>
      <c r="R29" s="79"/>
      <c r="S29" s="79"/>
    </row>
    <row r="30" spans="1:19">
      <c r="A30" s="79"/>
      <c r="B30" s="79"/>
      <c r="C30" s="79"/>
      <c r="D30" s="79"/>
      <c r="E30" s="79"/>
      <c r="F30" s="79"/>
      <c r="G30" s="79"/>
      <c r="H30" s="79"/>
      <c r="I30" s="79"/>
      <c r="J30" s="79"/>
      <c r="K30" s="79"/>
      <c r="L30" s="79"/>
      <c r="M30" s="79"/>
      <c r="N30" s="79"/>
      <c r="O30" s="79"/>
      <c r="P30" s="79"/>
      <c r="Q30" s="79"/>
      <c r="R30" s="79"/>
      <c r="S30" s="79"/>
    </row>
    <row r="31" spans="1:19">
      <c r="A31" s="79"/>
      <c r="B31" s="79"/>
      <c r="C31" s="79"/>
      <c r="D31" s="79"/>
      <c r="E31" s="79"/>
      <c r="F31" s="79"/>
      <c r="G31" s="79"/>
      <c r="H31" s="79"/>
      <c r="I31" s="79"/>
      <c r="J31" s="79"/>
      <c r="K31" s="79"/>
      <c r="L31" s="79"/>
      <c r="M31" s="79"/>
      <c r="N31" s="79"/>
      <c r="O31" s="79"/>
      <c r="P31" s="79"/>
      <c r="Q31" s="79"/>
      <c r="R31" s="79"/>
      <c r="S31" s="79"/>
    </row>
    <row r="32" spans="1:19">
      <c r="A32" s="79"/>
      <c r="B32" s="79"/>
      <c r="C32" s="79"/>
      <c r="D32" s="79"/>
      <c r="E32" s="79"/>
      <c r="F32" s="79"/>
      <c r="G32" s="79"/>
      <c r="H32" s="79"/>
      <c r="I32" s="79"/>
      <c r="J32" s="79"/>
      <c r="K32" s="79"/>
      <c r="L32" s="79"/>
      <c r="M32" s="79"/>
      <c r="N32" s="79"/>
      <c r="O32" s="79"/>
      <c r="P32" s="79"/>
      <c r="Q32" s="79"/>
      <c r="R32" s="79"/>
      <c r="S32" s="79"/>
    </row>
    <row r="35" spans="1:1">
      <c r="A35" s="109" t="s">
        <v>2617</v>
      </c>
    </row>
    <row r="36" spans="1:1">
      <c r="A36" s="109" t="s">
        <v>2618</v>
      </c>
    </row>
  </sheetData>
  <mergeCells count="16">
    <mergeCell ref="A1:Q2"/>
    <mergeCell ref="A4:C13"/>
    <mergeCell ref="E4:H5"/>
    <mergeCell ref="E7:H8"/>
    <mergeCell ref="J4:M5"/>
    <mergeCell ref="N4:Q5"/>
    <mergeCell ref="J7:M8"/>
    <mergeCell ref="N7:Q8"/>
    <mergeCell ref="J10:M11"/>
    <mergeCell ref="N10:Q11"/>
    <mergeCell ref="B20:P26"/>
    <mergeCell ref="E10:H18"/>
    <mergeCell ref="J13:M14"/>
    <mergeCell ref="N13:Q14"/>
    <mergeCell ref="J16:M17"/>
    <mergeCell ref="N16:Q1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891e4f-d9f9-4943-b706-02d173c0c3db">
      <Terms xmlns="http://schemas.microsoft.com/office/infopath/2007/PartnerControls"/>
    </lcf76f155ced4ddcb4097134ff3c332f>
    <TaxCatchAll xmlns="01ea1897-7315-4d59-a9d3-62abf82a10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E1FF98DD9471B46A6A86C3EC67789E1" ma:contentTypeVersion="15" ma:contentTypeDescription="Crear nuevo documento." ma:contentTypeScope="" ma:versionID="ff60dc87d159c2cbfec1f3b3eabc3c66">
  <xsd:schema xmlns:xsd="http://www.w3.org/2001/XMLSchema" xmlns:xs="http://www.w3.org/2001/XMLSchema" xmlns:p="http://schemas.microsoft.com/office/2006/metadata/properties" xmlns:ns2="d1891e4f-d9f9-4943-b706-02d173c0c3db" xmlns:ns3="01ea1897-7315-4d59-a9d3-62abf82a1040" targetNamespace="http://schemas.microsoft.com/office/2006/metadata/properties" ma:root="true" ma:fieldsID="be807a4b5498700b07de24a66321cc3b" ns2:_="" ns3:_="">
    <xsd:import namespace="d1891e4f-d9f9-4943-b706-02d173c0c3db"/>
    <xsd:import namespace="01ea1897-7315-4d59-a9d3-62abf82a10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891e4f-d9f9-4943-b706-02d173c0c3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688028f2-e733-45e3-8f0b-baaba6158d63"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ea1897-7315-4d59-a9d3-62abf82a1040"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17" nillable="true" ma:displayName="Taxonomy Catch All Column" ma:hidden="true" ma:list="{d6dd31fb-27c5-4186-92a2-c28637b61d85}" ma:internalName="TaxCatchAll" ma:showField="CatchAllData" ma:web="01ea1897-7315-4d59-a9d3-62abf82a10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0639A8-6EA6-4618-A011-B5BCCC8D95BB}">
  <ds:schemaRefs>
    <ds:schemaRef ds:uri="http://schemas.microsoft.com/office/2006/metadata/properties"/>
    <ds:schemaRef ds:uri="http://schemas.microsoft.com/office/infopath/2007/PartnerControls"/>
    <ds:schemaRef ds:uri="d1891e4f-d9f9-4943-b706-02d173c0c3db"/>
    <ds:schemaRef ds:uri="01ea1897-7315-4d59-a9d3-62abf82a1040"/>
  </ds:schemaRefs>
</ds:datastoreItem>
</file>

<file path=customXml/itemProps2.xml><?xml version="1.0" encoding="utf-8"?>
<ds:datastoreItem xmlns:ds="http://schemas.openxmlformats.org/officeDocument/2006/customXml" ds:itemID="{86268421-9ECE-4B83-9F9D-E99F3EF9771F}">
  <ds:schemaRefs>
    <ds:schemaRef ds:uri="http://schemas.microsoft.com/sharepoint/v3/contenttype/forms"/>
  </ds:schemaRefs>
</ds:datastoreItem>
</file>

<file path=customXml/itemProps3.xml><?xml version="1.0" encoding="utf-8"?>
<ds:datastoreItem xmlns:ds="http://schemas.openxmlformats.org/officeDocument/2006/customXml" ds:itemID="{3B53C77A-8A7A-47B1-9028-D55D2714E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891e4f-d9f9-4943-b706-02d173c0c3db"/>
    <ds:schemaRef ds:uri="01ea1897-7315-4d59-a9d3-62abf82a10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5</vt:i4>
      </vt:variant>
    </vt:vector>
  </HeadingPairs>
  <TitlesOfParts>
    <vt:vector size="39" baseType="lpstr">
      <vt:lpstr>MUNICIPIOS</vt:lpstr>
      <vt:lpstr>DATOS</vt:lpstr>
      <vt:lpstr>LISTAS DESPLEGABLES</vt:lpstr>
      <vt:lpstr>CAPEX</vt:lpstr>
      <vt:lpstr>AOM Y OPEX</vt:lpstr>
      <vt:lpstr>ECONÓMICAS</vt:lpstr>
      <vt:lpstr>ACTIVOS FIJOS E INTANGIBLES</vt:lpstr>
      <vt:lpstr>CAPITAL</vt:lpstr>
      <vt:lpstr>ESTRUCTURA JURÍDICA</vt:lpstr>
      <vt:lpstr>CAPACITACIÓN</vt:lpstr>
      <vt:lpstr>OTRAS ACTIVIDADES ECONÓMICAS</vt:lpstr>
      <vt:lpstr>MENÚ</vt:lpstr>
      <vt:lpstr>INSTRUCCIONES</vt:lpstr>
      <vt:lpstr>PUNTO DE EQUILIBRIO</vt:lpstr>
      <vt:lpstr>INDICADORES DEL PROYECTO</vt:lpstr>
      <vt:lpstr>FACTOR MULTIPLICADOR PERSONAL</vt:lpstr>
      <vt:lpstr>ESTADO SITUACIÓN FINANCIERA</vt:lpstr>
      <vt:lpstr>FINANCIACIÓN</vt:lpstr>
      <vt:lpstr>ESTADO DE RESULTADOS</vt:lpstr>
      <vt:lpstr>PRESUPUESTO DE EFECTIVO</vt:lpstr>
      <vt:lpstr>PROYECCIONES MACROECONÓMICAS</vt:lpstr>
      <vt:lpstr>MANO DE OBRA</vt:lpstr>
      <vt:lpstr>PRECIOS BOLSA ENERGÍA COLOMBIA</vt:lpstr>
      <vt:lpstr>FINANCIACIÓN PARA MOSTRAR</vt:lpstr>
      <vt:lpstr>FONDOS A LOS QUE PUEDE APLICAR</vt:lpstr>
      <vt:lpstr>BETA DAMODARAN 2023</vt:lpstr>
      <vt:lpstr>MERCADO Y LIBRE DE RIESGO 2023</vt:lpstr>
      <vt:lpstr>RIESGO PAÍS TAMAÑO PROYECCIONES</vt:lpstr>
      <vt:lpstr>DEVALUACIÓN</vt:lpstr>
      <vt:lpstr>WACC</vt:lpstr>
      <vt:lpstr>BETAS SECTORES</vt:lpstr>
      <vt:lpstr>MERCADO Y LIBRE DE RIESGO</vt:lpstr>
      <vt:lpstr>RIESGO PAÍS</vt:lpstr>
      <vt:lpstr>DEVALUACIÓN 2023</vt:lpstr>
      <vt:lpstr>DEVALUACIÓN!Área_de_impresión</vt:lpstr>
      <vt:lpstr>'DEVALUACIÓN 2023'!Área_de_impresión</vt:lpstr>
      <vt:lpstr>MENÚ!Área_de_impresión</vt:lpstr>
      <vt:lpstr>'DEVALUACIÓN 2023'!pag_10</vt:lpstr>
      <vt:lpstr>pag_10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JUAN DAVID MOLINA CASTRO - LÍDER DE GESTIÓN COLOMBIA I</cp:lastModifiedBy>
  <cp:revision/>
  <dcterms:created xsi:type="dcterms:W3CDTF">2023-12-18T23:24:24Z</dcterms:created>
  <dcterms:modified xsi:type="dcterms:W3CDTF">2024-06-18T00:08:49Z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0x010100DE1FF98DD9471B46A6A86C3EC67789E1</vt:lpwstr>
  </property>
  <property fmtid="{D5CDD505-2E9C-101B-9397-08002B2CF9AE}" pid="3" name="MediaServiceImageTags">
    <vt:lpwstr/>
  </property>
</Properties>
</file>